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ÜL\Übungsleiter Stundenzettel\"/>
    </mc:Choice>
  </mc:AlternateContent>
  <xr:revisionPtr revIDLastSave="0" documentId="13_ncr:1_{1DF27439-C64C-4149-8715-88135A830402}" xr6:coauthVersionLast="47" xr6:coauthVersionMax="47" xr10:uidLastSave="{00000000-0000-0000-0000-000000000000}"/>
  <bookViews>
    <workbookView xWindow="-13005" yWindow="1170" windowWidth="22770" windowHeight="11940" xr2:uid="{00000000-000D-0000-FFFF-FFFF00000000}"/>
  </bookViews>
  <sheets>
    <sheet name="Tabelle1" sheetId="1" r:id="rId1"/>
    <sheet name="dropdown" sheetId="2" state="hidden" r:id="rId2"/>
  </sheets>
  <externalReferences>
    <externalReference r:id="rId3"/>
  </externalReferences>
  <definedNames>
    <definedName name="MDE">[1]Übersicht!$E$5</definedName>
    <definedName name="MEE">[1]Übersicht!$E$3</definedName>
    <definedName name="MZE">[1]Übersicht!$E$4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4" i="1"/>
  <c r="E25" i="1"/>
  <c r="D43" i="1"/>
  <c r="J40" i="1"/>
  <c r="K4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L7" i="1"/>
  <c r="K36" i="1" s="1"/>
  <c r="G7" i="1"/>
  <c r="F10" i="1" s="1"/>
  <c r="B7" i="1"/>
  <c r="A37" i="1" s="1"/>
  <c r="O41" i="1" l="1"/>
  <c r="J41" i="1"/>
  <c r="K40" i="1"/>
  <c r="K32" i="1"/>
  <c r="K28" i="1"/>
  <c r="K24" i="1"/>
  <c r="K20" i="1"/>
  <c r="K16" i="1"/>
  <c r="K37" i="1"/>
  <c r="K33" i="1"/>
  <c r="K29" i="1"/>
  <c r="K25" i="1"/>
  <c r="K21" i="1"/>
  <c r="K17" i="1"/>
  <c r="K13" i="1"/>
  <c r="K38" i="1"/>
  <c r="K34" i="1"/>
  <c r="K30" i="1"/>
  <c r="K26" i="1"/>
  <c r="K22" i="1"/>
  <c r="K18" i="1"/>
  <c r="K14" i="1"/>
  <c r="K10" i="1"/>
  <c r="K35" i="1"/>
  <c r="K31" i="1"/>
  <c r="K27" i="1"/>
  <c r="K23" i="1"/>
  <c r="K19" i="1"/>
  <c r="K15" i="1"/>
  <c r="K11" i="1"/>
  <c r="K39" i="1"/>
  <c r="K12" i="1"/>
  <c r="E41" i="1"/>
  <c r="F16" i="1"/>
  <c r="F32" i="1"/>
  <c r="F20" i="1"/>
  <c r="F36" i="1"/>
  <c r="F24" i="1"/>
  <c r="F40" i="1"/>
  <c r="F12" i="1"/>
  <c r="F28" i="1"/>
  <c r="F13" i="1"/>
  <c r="F17" i="1"/>
  <c r="F21" i="1"/>
  <c r="F25" i="1"/>
  <c r="F29" i="1"/>
  <c r="F33" i="1"/>
  <c r="F37" i="1"/>
  <c r="F38" i="1" s="1"/>
  <c r="F14" i="1"/>
  <c r="F18" i="1"/>
  <c r="F22" i="1"/>
  <c r="F26" i="1"/>
  <c r="F30" i="1"/>
  <c r="F34" i="1"/>
  <c r="F11" i="1"/>
  <c r="F15" i="1"/>
  <c r="F19" i="1"/>
  <c r="F23" i="1"/>
  <c r="F27" i="1"/>
  <c r="F31" i="1"/>
  <c r="F35" i="1"/>
  <c r="F39" i="1"/>
  <c r="A15" i="1"/>
  <c r="A19" i="1"/>
  <c r="A23" i="1"/>
  <c r="A27" i="1"/>
  <c r="A31" i="1"/>
  <c r="A35" i="1"/>
  <c r="A39" i="1"/>
  <c r="A13" i="1"/>
  <c r="A18" i="1"/>
  <c r="A22" i="1"/>
  <c r="A26" i="1"/>
  <c r="A30" i="1"/>
  <c r="A34" i="1"/>
  <c r="A38" i="1"/>
  <c r="A16" i="1"/>
  <c r="A20" i="1"/>
  <c r="A24" i="1"/>
  <c r="A28" i="1"/>
  <c r="A32" i="1"/>
  <c r="A36" i="1"/>
  <c r="A40" i="1"/>
  <c r="A17" i="1"/>
  <c r="A21" i="1"/>
  <c r="A25" i="1"/>
  <c r="A29" i="1"/>
  <c r="A33" i="1"/>
  <c r="A12" i="1"/>
  <c r="A14" i="1"/>
  <c r="A11" i="1"/>
  <c r="A10" i="1"/>
  <c r="J43" i="1" l="1"/>
  <c r="L43" i="1" s="1"/>
  <c r="K43" i="1" l="1"/>
</calcChain>
</file>

<file path=xl/sharedStrings.xml><?xml version="1.0" encoding="utf-8"?>
<sst xmlns="http://schemas.openxmlformats.org/spreadsheetml/2006/main" count="151" uniqueCount="45">
  <si>
    <t>Turngemeinde Landshut v. 1861 e.V.</t>
  </si>
  <si>
    <t>Abteilung:</t>
  </si>
  <si>
    <t>Monat</t>
  </si>
  <si>
    <t>Datum</t>
  </si>
  <si>
    <t>Unterschrift des Übungsleiters</t>
  </si>
  <si>
    <t>Unterschrift des Abteilungsleiters</t>
  </si>
  <si>
    <t>Name des Übungsleiters:</t>
  </si>
  <si>
    <t>Hauptverein (10)</t>
  </si>
  <si>
    <t>Basketball (11)</t>
  </si>
  <si>
    <t>Behindertensport (12)</t>
  </si>
  <si>
    <t>Faustball (13)</t>
  </si>
  <si>
    <t>Fechten (14)</t>
  </si>
  <si>
    <t>Freizeitsport (15)</t>
  </si>
  <si>
    <t>Handball (18)</t>
  </si>
  <si>
    <t>Judo (19)</t>
  </si>
  <si>
    <t>Ju Jutsu (20)</t>
  </si>
  <si>
    <t>Karate (21)</t>
  </si>
  <si>
    <t>Leichtathletik (22)</t>
  </si>
  <si>
    <t>Tischtennis (25)</t>
  </si>
  <si>
    <t>Turnen (26)</t>
  </si>
  <si>
    <t>Volleyball (27)</t>
  </si>
  <si>
    <t>Rehasport (29)</t>
  </si>
  <si>
    <t>Unihockey (30)</t>
  </si>
  <si>
    <t>Kung-Fu (32)</t>
  </si>
  <si>
    <t>Rope Skipping (40)</t>
  </si>
  <si>
    <t>Garde- und Schautanz (41)</t>
  </si>
  <si>
    <t>Tai Chi (42)</t>
  </si>
  <si>
    <t>Aikido (43)</t>
  </si>
  <si>
    <t>Kiss (47)</t>
  </si>
  <si>
    <t>1. Quartal</t>
  </si>
  <si>
    <t>2. Quartal</t>
  </si>
  <si>
    <t>3. Quartal</t>
  </si>
  <si>
    <t>4. Quartal</t>
  </si>
  <si>
    <t>Schwerathletik (16)</t>
  </si>
  <si>
    <t>Anzahl Einheit</t>
  </si>
  <si>
    <t>bis</t>
  </si>
  <si>
    <t>von</t>
  </si>
  <si>
    <t>-</t>
  </si>
  <si>
    <t>Übungseinheit</t>
  </si>
  <si>
    <t>Fit und Gesund (17)</t>
  </si>
  <si>
    <t>Monatseinheiten</t>
  </si>
  <si>
    <t>Tanz (24)</t>
  </si>
  <si>
    <t>BJJ (49)</t>
  </si>
  <si>
    <r>
      <t xml:space="preserve">Hinweis ab 1. April 2021:  </t>
    </r>
    <r>
      <rPr>
        <sz val="8"/>
        <color indexed="8"/>
        <rFont val="Calibri"/>
        <family val="2"/>
      </rPr>
      <t xml:space="preserve">Jede verrechnete TGL-Übungsstunde muss mindestens 45 Minuten praktischen Übens umfassen. Es darf nur der – laut Programm/Hallenplan - tatsächlich geleistete Übungszeitraum abgerechnet werden. Zusammenhängende Übungszeiträume müssen durch 15 Minuten teilbar sein. Dieser Zeitraum geteilt durch 15 Minuten ergibt die Zahl der abzurechnenden Einheiten (z.B. 60 Minuten : 15 = 4 Einheiten). Übungszeiträume, die über mehrere Tage verteilt sind, sind getrennt zu berechnen. Urlaubs- und Ausfallzeiten dürfen nur durch eine/n anerkannte/n Übungsleiter/in vertreten werden, der/die diese Stunden selbst abrechnet. Die Übungsstunden sind grundsätzlich quartalsweise abzurechnen. Der Beleg ist nach Ende des Quartals zeitnah - unterschrieben und kontrolliert durch den/die Abteilungsleiter/in – in der Geschäftsstelle einzureichen. Abgerechnet werden können nur die Übungsstunden der letzten beiden vorangegangenen Quartale. Die Überweisung des Entgelts erfolgt zeitnah nach Eingang des Belegs. </t>
    </r>
  </si>
  <si>
    <t>Stand: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</si>
</sst>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/m/"/>
    <numFmt numFmtId="165" formatCode="_-* #,##0.00\ [$€-407]_-;\-* #,##0.00\ [$€-407]_-;_-* &quot;-&quot;??\ [$€-407]_-;_-@_-"/>
    <numFmt numFmtId="166" formatCode="[h]"/>
  </numFmts>
  <fonts count="7" x14ac:knownFonts="1"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20" fontId="0" fillId="0" borderId="0" xfId="0" applyNumberFormat="1"/>
    <xf numFmtId="164" fontId="0" fillId="0" borderId="1" xfId="0" quotePrefix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1" fontId="0" fillId="0" borderId="1" xfId="0" applyNumberFormat="1" applyBorder="1" applyAlignment="1" applyProtection="1">
      <alignment vertical="center"/>
    </xf>
    <xf numFmtId="0" fontId="0" fillId="0" borderId="0" xfId="0" quotePrefix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9" xfId="0" applyBorder="1" applyAlignment="1" applyProtection="1">
      <alignment vertical="center"/>
    </xf>
    <xf numFmtId="166" fontId="0" fillId="0" borderId="1" xfId="0" applyNumberForma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165" fontId="6" fillId="0" borderId="0" xfId="0" applyNumberFormat="1" applyFont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242684</xdr:colOff>
      <xdr:row>0</xdr:row>
      <xdr:rowOff>0</xdr:rowOff>
    </xdr:from>
    <xdr:to>
      <xdr:col>14</xdr:col>
      <xdr:colOff>560786</xdr:colOff>
      <xdr:row>4</xdr:row>
      <xdr:rowOff>15039</xdr:rowOff>
    </xdr:to>
    <xdr:pic>
      <xdr:nvPicPr>
        <xdr:cNvPr id="3" name="Grafik 2" descr="tgl logo klei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5419" y="0"/>
          <a:ext cx="799955" cy="922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0;L-Stunden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Einzelausdruck"/>
      <sheetName val="- 50"/>
      <sheetName val="- 100"/>
      <sheetName val="- 150"/>
      <sheetName val="- 200"/>
      <sheetName val="Tabelle1"/>
      <sheetName val="Tabelle2"/>
    </sheetNames>
    <sheetDataSet>
      <sheetData sheetId="0">
        <row r="2">
          <cell r="E2" t="str">
            <v>1.Quartal 2016</v>
          </cell>
        </row>
        <row r="3">
          <cell r="E3" t="str">
            <v>Januar</v>
          </cell>
        </row>
        <row r="4">
          <cell r="E4" t="str">
            <v>Februar</v>
          </cell>
        </row>
        <row r="5">
          <cell r="E5" t="str">
            <v>März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showWhiteSpace="0" view="pageLayout" topLeftCell="A16" zoomScaleNormal="100" workbookViewId="0">
      <selection activeCell="L43" sqref="L43:N43"/>
    </sheetView>
  </sheetViews>
  <sheetFormatPr baseColWidth="10" defaultRowHeight="15" x14ac:dyDescent="0.25"/>
  <cols>
    <col min="1" max="1" width="10" customWidth="1"/>
    <col min="2" max="2" width="6.5703125" customWidth="1"/>
    <col min="3" max="3" width="1.42578125" customWidth="1"/>
    <col min="4" max="4" width="6.5703125" customWidth="1"/>
    <col min="5" max="5" width="8.140625" customWidth="1"/>
    <col min="6" max="6" width="10" customWidth="1"/>
    <col min="7" max="7" width="6.5703125" customWidth="1"/>
    <col min="8" max="8" width="1.42578125" customWidth="1"/>
    <col min="9" max="9" width="6.5703125" customWidth="1"/>
    <col min="10" max="10" width="8.140625" customWidth="1"/>
    <col min="11" max="11" width="10" customWidth="1"/>
    <col min="12" max="12" width="6.5703125" customWidth="1"/>
    <col min="13" max="13" width="1.42578125" customWidth="1"/>
    <col min="14" max="14" width="6.7109375" customWidth="1"/>
    <col min="15" max="15" width="8.140625" customWidth="1"/>
    <col min="16" max="16" width="0.42578125" customWidth="1"/>
  </cols>
  <sheetData>
    <row r="1" spans="1:15" ht="26.2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5">
      <c r="A2" s="32" t="s">
        <v>44</v>
      </c>
      <c r="B2" s="32"/>
      <c r="C2" s="32"/>
      <c r="D2" s="32"/>
      <c r="E2" s="32"/>
      <c r="F2" s="6"/>
      <c r="G2" s="6"/>
      <c r="H2" s="6"/>
      <c r="I2" s="6"/>
      <c r="J2" s="18"/>
      <c r="K2" s="18"/>
      <c r="L2" s="18"/>
      <c r="M2" s="18"/>
      <c r="N2" s="6"/>
      <c r="O2" s="2"/>
    </row>
    <row r="3" spans="1:15" x14ac:dyDescent="0.25">
      <c r="A3" s="33" t="s">
        <v>6</v>
      </c>
      <c r="B3" s="33"/>
      <c r="C3" s="33"/>
      <c r="D3" s="33"/>
      <c r="E3" s="33"/>
      <c r="F3" s="34"/>
      <c r="G3" s="34"/>
      <c r="H3" s="34"/>
      <c r="I3" s="34"/>
      <c r="J3" s="6"/>
      <c r="K3" s="5" t="s">
        <v>29</v>
      </c>
      <c r="L3" s="17"/>
      <c r="M3" s="17"/>
      <c r="N3" s="18"/>
      <c r="O3" s="1"/>
    </row>
    <row r="4" spans="1:15" x14ac:dyDescent="0.25">
      <c r="A4" s="33" t="s">
        <v>1</v>
      </c>
      <c r="B4" s="33"/>
      <c r="C4" s="33"/>
      <c r="D4" s="33"/>
      <c r="E4" s="33"/>
      <c r="F4" s="34" t="s">
        <v>7</v>
      </c>
      <c r="G4" s="34"/>
      <c r="H4" s="34"/>
      <c r="I4" s="34"/>
      <c r="J4" s="6"/>
      <c r="K4" s="17">
        <f ca="1">YEAR(TODAY())</f>
        <v>2022</v>
      </c>
      <c r="L4" s="17"/>
      <c r="M4" s="17"/>
      <c r="N4" s="6"/>
      <c r="O4" s="1"/>
    </row>
    <row r="5" spans="1:15" ht="84" customHeight="1" x14ac:dyDescent="0.25">
      <c r="A5" s="28" t="s">
        <v>43</v>
      </c>
      <c r="B5" s="29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0.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 t="s">
        <v>2</v>
      </c>
      <c r="B7" s="25" t="str">
        <f>IF(K3="1. Quartal","Januar",IF(K3="2. Quartal","April",IF(K3="3. Quartal","Juli","Oktober")))</f>
        <v>Januar</v>
      </c>
      <c r="C7" s="26"/>
      <c r="D7" s="26"/>
      <c r="E7" s="27"/>
      <c r="F7" s="9"/>
      <c r="G7" s="25" t="str">
        <f>IF(K3="1. Quartal","Februar",IF(K3="2. Quartal","Mai",IF(K3="3. Quartal","August","November")))</f>
        <v>Februar</v>
      </c>
      <c r="H7" s="26"/>
      <c r="I7" s="26"/>
      <c r="J7" s="27"/>
      <c r="K7" s="9"/>
      <c r="L7" s="25" t="str">
        <f>IF(K3="1. Quartal","März",IF(K3="2. Quartal","Juni",IF(K3="3. Quartal","September","Dezember")))</f>
        <v>März</v>
      </c>
      <c r="M7" s="26"/>
      <c r="N7" s="26"/>
      <c r="O7" s="27"/>
    </row>
    <row r="8" spans="1:15" ht="15" customHeight="1" x14ac:dyDescent="0.25">
      <c r="A8" s="23" t="s">
        <v>3</v>
      </c>
      <c r="B8" s="35" t="s">
        <v>38</v>
      </c>
      <c r="C8" s="36"/>
      <c r="D8" s="37"/>
      <c r="E8" s="38" t="s">
        <v>34</v>
      </c>
      <c r="F8" s="23" t="s">
        <v>3</v>
      </c>
      <c r="G8" s="35" t="s">
        <v>38</v>
      </c>
      <c r="H8" s="36"/>
      <c r="I8" s="37"/>
      <c r="J8" s="38" t="s">
        <v>34</v>
      </c>
      <c r="K8" s="23" t="s">
        <v>3</v>
      </c>
      <c r="L8" s="35" t="s">
        <v>38</v>
      </c>
      <c r="M8" s="36"/>
      <c r="N8" s="37"/>
      <c r="O8" s="38" t="s">
        <v>34</v>
      </c>
    </row>
    <row r="9" spans="1:15" ht="15" customHeight="1" x14ac:dyDescent="0.25">
      <c r="A9" s="24"/>
      <c r="B9" s="9" t="s">
        <v>36</v>
      </c>
      <c r="C9" s="9"/>
      <c r="D9" s="10" t="s">
        <v>35</v>
      </c>
      <c r="E9" s="39"/>
      <c r="F9" s="24"/>
      <c r="G9" s="10" t="s">
        <v>36</v>
      </c>
      <c r="H9" s="10"/>
      <c r="I9" s="10" t="s">
        <v>35</v>
      </c>
      <c r="J9" s="39"/>
      <c r="K9" s="24"/>
      <c r="L9" s="10" t="s">
        <v>36</v>
      </c>
      <c r="M9" s="10"/>
      <c r="N9" s="10" t="s">
        <v>35</v>
      </c>
      <c r="O9" s="39"/>
    </row>
    <row r="10" spans="1:15" ht="14.25" customHeight="1" x14ac:dyDescent="0.25">
      <c r="A10" s="16">
        <f ca="1">IF($B$7="Januar",DATE(YEAR(TODAY()),1,1),IF($B$7="April",DATE(YEAR(TODAY()),4,1),IF($B$7="Juli",DATE(YEAR(TODAY()),7,1),DATE(YEAR(TODAY()),10,1))))</f>
        <v>44562</v>
      </c>
      <c r="B10" s="19"/>
      <c r="C10" s="8" t="s">
        <v>37</v>
      </c>
      <c r="D10" s="19"/>
      <c r="E10" s="22" t="str">
        <f>IF(D10="","",(D10-B10)*4)</f>
        <v/>
      </c>
      <c r="F10" s="16">
        <f ca="1">IF($G$7="Februar",DATE(YEAR(TODAY()),2,1),IF($G$7="Mai",DATE(YEAR(TODAY()),5,1),IF($G$7="August",DATE(YEAR(TODAY()),8,1),DATE(YEAR(TODAY()),11,1))))</f>
        <v>44593</v>
      </c>
      <c r="G10" s="19"/>
      <c r="H10" s="8" t="s">
        <v>37</v>
      </c>
      <c r="I10" s="19"/>
      <c r="J10" s="22" t="str">
        <f>IF(I10="","",(I10-G10)*4)</f>
        <v/>
      </c>
      <c r="K10" s="16">
        <f ca="1">IF($L$7="März",DATE(YEAR(TODAY()),3,1),IF($L$7="Juni",DATE(YEAR(TODAY()),6,1),IF($L$7="September",DATE(YEAR(TODAY()),9,1),DATE(YEAR(TODAY()),12,1))))</f>
        <v>44621</v>
      </c>
      <c r="L10" s="19"/>
      <c r="M10" s="8" t="s">
        <v>37</v>
      </c>
      <c r="N10" s="19"/>
      <c r="O10" s="22" t="str">
        <f>IF(N10="","",(N10-L10)*4)</f>
        <v/>
      </c>
    </row>
    <row r="11" spans="1:15" ht="14.25" customHeight="1" x14ac:dyDescent="0.25">
      <c r="A11" s="16">
        <f ca="1">IF($B$7="Januar",DATE(YEAR(TODAY()),1,2),IF($B$7="April",DATE(YEAR(TODAY()),4,2),IF($B$7="Juli",DATE(YEAR(TODAY()),7,2),DATE(YEAR(TODAY()),10,2))))</f>
        <v>44563</v>
      </c>
      <c r="B11" s="19"/>
      <c r="C11" s="8" t="s">
        <v>37</v>
      </c>
      <c r="D11" s="19"/>
      <c r="E11" s="22" t="str">
        <f t="shared" ref="E11:E40" si="0">IF(D11="","",(D11-B11)*4)</f>
        <v/>
      </c>
      <c r="F11" s="16">
        <f ca="1">IF($G$7="Februar",DATE(YEAR(TODAY()),2,2),IF($G$7="Mai",DATE(YEAR(TODAY()),5,2),IF($G$7="August",DATE(YEAR(TODAY()),8,2),DATE(YEAR(TODAY()),11,2))))</f>
        <v>44594</v>
      </c>
      <c r="G11" s="19"/>
      <c r="H11" s="8" t="s">
        <v>37</v>
      </c>
      <c r="I11" s="19"/>
      <c r="J11" s="22" t="str">
        <f t="shared" ref="J11:J39" si="1">IF(I11="","",(I11-G11)*4)</f>
        <v/>
      </c>
      <c r="K11" s="16">
        <f ca="1">IF($L$7="März",DATE(YEAR(TODAY()),3,2),IF($L$7="Juni",DATE(YEAR(TODAY()),6,2),IF($L$7="September",DATE(YEAR(TODAY()),9,2),DATE(YEAR(TODAY()),12,2))))</f>
        <v>44622</v>
      </c>
      <c r="L11" s="19"/>
      <c r="M11" s="8" t="s">
        <v>37</v>
      </c>
      <c r="N11" s="19"/>
      <c r="O11" s="22" t="str">
        <f t="shared" ref="O11:O40" si="2">IF(N11="","",(N11-L11)*4)</f>
        <v/>
      </c>
    </row>
    <row r="12" spans="1:15" ht="14.25" customHeight="1" x14ac:dyDescent="0.25">
      <c r="A12" s="16">
        <f ca="1">IF($B$7="Januar",DATE(YEAR(TODAY()),1,3),IF($B$7="April",DATE(YEAR(TODAY()),4,3),IF($B$7="Juli",DATE(YEAR(TODAY()),7,3),DATE(YEAR(TODAY()),10,3))))</f>
        <v>44564</v>
      </c>
      <c r="B12" s="19"/>
      <c r="C12" s="8" t="s">
        <v>37</v>
      </c>
      <c r="D12" s="19"/>
      <c r="E12" s="22" t="str">
        <f t="shared" si="0"/>
        <v/>
      </c>
      <c r="F12" s="16">
        <f ca="1">IF($G$7="Februar",DATE(YEAR(TODAY()),2,3),IF($G$7="Mai",DATE(YEAR(TODAY()),5,3),IF($G$7="August",DATE(YEAR(TODAY()),8,3),DATE(YEAR(TODAY()),11,3))))</f>
        <v>44595</v>
      </c>
      <c r="G12" s="19"/>
      <c r="H12" s="8" t="s">
        <v>37</v>
      </c>
      <c r="I12" s="19"/>
      <c r="J12" s="22" t="str">
        <f t="shared" si="1"/>
        <v/>
      </c>
      <c r="K12" s="16">
        <f ca="1">IF($L$7="März",DATE(YEAR(TODAY()),3,3),IF($L$7="Juni",DATE(YEAR(TODAY()),6,3),IF($L$7="September",DATE(YEAR(TODAY()),9,3),DATE(YEAR(TODAY()),12,3))))</f>
        <v>44623</v>
      </c>
      <c r="L12" s="19"/>
      <c r="M12" s="8" t="s">
        <v>37</v>
      </c>
      <c r="N12" s="19"/>
      <c r="O12" s="22" t="str">
        <f t="shared" si="2"/>
        <v/>
      </c>
    </row>
    <row r="13" spans="1:15" ht="14.25" customHeight="1" x14ac:dyDescent="0.25">
      <c r="A13" s="16">
        <f ca="1">IF($B$7="Januar",DATE(YEAR(TODAY()),1,4),IF($B$7="April",DATE(YEAR(TODAY()),4,4),IF($B$7="Juli",DATE(YEAR(TODAY()),7,4),DATE(YEAR(TODAY()),10,4))))</f>
        <v>44565</v>
      </c>
      <c r="B13" s="19"/>
      <c r="C13" s="8" t="s">
        <v>37</v>
      </c>
      <c r="D13" s="19"/>
      <c r="E13" s="22" t="str">
        <f t="shared" si="0"/>
        <v/>
      </c>
      <c r="F13" s="16">
        <f ca="1">IF($G$7="Februar",DATE(YEAR(TODAY()),2,4),IF($G$7="Mai",DATE(YEAR(TODAY()),5,4),IF($G$7="August",DATE(YEAR(TODAY()),8,4),DATE(YEAR(TODAY()),11,4))))</f>
        <v>44596</v>
      </c>
      <c r="G13" s="19"/>
      <c r="H13" s="8" t="s">
        <v>37</v>
      </c>
      <c r="I13" s="19"/>
      <c r="J13" s="22" t="str">
        <f t="shared" si="1"/>
        <v/>
      </c>
      <c r="K13" s="16">
        <f ca="1">IF($L$7="März",DATE(YEAR(TODAY()),3,4),IF($L$7="Juni",DATE(YEAR(TODAY()),6,4),IF($L$7="September",DATE(YEAR(TODAY()),9,4),DATE(YEAR(TODAY()),12,4))))</f>
        <v>44624</v>
      </c>
      <c r="L13" s="19"/>
      <c r="M13" s="8" t="s">
        <v>37</v>
      </c>
      <c r="N13" s="19"/>
      <c r="O13" s="22" t="str">
        <f t="shared" si="2"/>
        <v/>
      </c>
    </row>
    <row r="14" spans="1:15" ht="14.25" customHeight="1" x14ac:dyDescent="0.25">
      <c r="A14" s="16">
        <f ca="1">IF($B$7="Januar",DATE(YEAR(TODAY()),1,5),IF($B$7="April",DATE(YEAR(TODAY()),4,5),IF($B$7="Juli",DATE(YEAR(TODAY()),7,5),DATE(YEAR(TODAY()),10,5))))</f>
        <v>44566</v>
      </c>
      <c r="B14" s="19"/>
      <c r="C14" s="8" t="s">
        <v>37</v>
      </c>
      <c r="D14" s="19"/>
      <c r="E14" s="22" t="str">
        <f t="shared" si="0"/>
        <v/>
      </c>
      <c r="F14" s="16">
        <f ca="1">IF($G$7="Februar",DATE(YEAR(TODAY()),2,5),IF($G$7="Mai",DATE(YEAR(TODAY()),5,5),IF($G$7="August",DATE(YEAR(TODAY()),8,5),DATE(YEAR(TODAY()),11,5))))</f>
        <v>44597</v>
      </c>
      <c r="G14" s="19"/>
      <c r="H14" s="8" t="s">
        <v>37</v>
      </c>
      <c r="I14" s="19"/>
      <c r="J14" s="22" t="str">
        <f t="shared" si="1"/>
        <v/>
      </c>
      <c r="K14" s="16">
        <f ca="1">IF($L$7="März",DATE(YEAR(TODAY()),3,5),IF($L$7="Juni",DATE(YEAR(TODAY()),6,5),IF($L$7="September",DATE(YEAR(TODAY()),9,5),DATE(YEAR(TODAY()),12,5))))</f>
        <v>44625</v>
      </c>
      <c r="L14" s="19"/>
      <c r="M14" s="8" t="s">
        <v>37</v>
      </c>
      <c r="N14" s="19"/>
      <c r="O14" s="22" t="str">
        <f t="shared" si="2"/>
        <v/>
      </c>
    </row>
    <row r="15" spans="1:15" ht="14.25" customHeight="1" x14ac:dyDescent="0.25">
      <c r="A15" s="16">
        <f ca="1">IF($B$7="Januar",DATE(YEAR(TODAY()),1,6),IF($B$7="April",DATE(YEAR(TODAY()),4,6),IF($B$7="Juli",DATE(YEAR(TODAY()),7,6),DATE(YEAR(TODAY()),10,6))))</f>
        <v>44567</v>
      </c>
      <c r="B15" s="19"/>
      <c r="C15" s="8" t="s">
        <v>37</v>
      </c>
      <c r="D15" s="19"/>
      <c r="E15" s="22" t="str">
        <f t="shared" si="0"/>
        <v/>
      </c>
      <c r="F15" s="16">
        <f ca="1">IF($G$7="Februar",DATE(YEAR(TODAY()),2,6),IF($G$7="Mai",DATE(YEAR(TODAY()),5,6),IF($G$7="August",DATE(YEAR(TODAY()),8,6),DATE(YEAR(TODAY()),11,6))))</f>
        <v>44598</v>
      </c>
      <c r="G15" s="19"/>
      <c r="H15" s="8" t="s">
        <v>37</v>
      </c>
      <c r="I15" s="19"/>
      <c r="J15" s="22" t="str">
        <f t="shared" si="1"/>
        <v/>
      </c>
      <c r="K15" s="16">
        <f ca="1">IF($L$7="März",DATE(YEAR(TODAY()),3,6),IF($L$7="Juni",DATE(YEAR(TODAY()),6,6),IF($L$7="September",DATE(YEAR(TODAY()),9,6),DATE(YEAR(TODAY()),12,6))))</f>
        <v>44626</v>
      </c>
      <c r="L15" s="19"/>
      <c r="M15" s="8" t="s">
        <v>37</v>
      </c>
      <c r="N15" s="19"/>
      <c r="O15" s="22" t="str">
        <f t="shared" si="2"/>
        <v/>
      </c>
    </row>
    <row r="16" spans="1:15" ht="14.25" customHeight="1" x14ac:dyDescent="0.25">
      <c r="A16" s="16">
        <f ca="1">IF($B$7="Januar",DATE(YEAR(TODAY()),1,7),IF($B$7="April",DATE(YEAR(TODAY()),4,7),IF($B$7="Juli",DATE(YEAR(TODAY()),7,7),DATE(YEAR(TODAY()),10,7))))</f>
        <v>44568</v>
      </c>
      <c r="B16" s="19"/>
      <c r="C16" s="8" t="s">
        <v>37</v>
      </c>
      <c r="D16" s="19"/>
      <c r="E16" s="22" t="str">
        <f t="shared" si="0"/>
        <v/>
      </c>
      <c r="F16" s="16">
        <f ca="1">IF($G$7="Februar",DATE(YEAR(TODAY()),2,7),IF($G$7="Mai",DATE(YEAR(TODAY()),5,7),IF($G$7="August",DATE(YEAR(TODAY()),8,7),DATE(YEAR(TODAY()),11,7))))</f>
        <v>44599</v>
      </c>
      <c r="G16" s="19"/>
      <c r="H16" s="8" t="s">
        <v>37</v>
      </c>
      <c r="I16" s="19"/>
      <c r="J16" s="22" t="str">
        <f t="shared" si="1"/>
        <v/>
      </c>
      <c r="K16" s="16">
        <f ca="1">IF($L$7="März",DATE(YEAR(TODAY()),3,7),IF($L$7="Juni",DATE(YEAR(TODAY()),6,7),IF($L$7="September",DATE(YEAR(TODAY()),9,7),DATE(YEAR(TODAY()),12,7))))</f>
        <v>44627</v>
      </c>
      <c r="L16" s="19"/>
      <c r="M16" s="8" t="s">
        <v>37</v>
      </c>
      <c r="N16" s="19"/>
      <c r="O16" s="22" t="str">
        <f t="shared" si="2"/>
        <v/>
      </c>
    </row>
    <row r="17" spans="1:15" ht="14.25" customHeight="1" x14ac:dyDescent="0.25">
      <c r="A17" s="16">
        <f ca="1">IF($B$7="Januar",DATE(YEAR(TODAY()),1,8),IF($B$7="April",DATE(YEAR(TODAY()),4,8),IF($B$7="Juli",DATE(YEAR(TODAY()),7,8),DATE(YEAR(TODAY()),10,8))))</f>
        <v>44569</v>
      </c>
      <c r="B17" s="19"/>
      <c r="C17" s="8" t="s">
        <v>37</v>
      </c>
      <c r="D17" s="19"/>
      <c r="E17" s="22" t="str">
        <f t="shared" si="0"/>
        <v/>
      </c>
      <c r="F17" s="16">
        <f ca="1">IF($G$7="Februar",DATE(YEAR(TODAY()),2,8),IF($G$7="Mai",DATE(YEAR(TODAY()),5,8),IF($G$7="August",DATE(YEAR(TODAY()),8,8),DATE(YEAR(TODAY()),11,8))))</f>
        <v>44600</v>
      </c>
      <c r="G17" s="19"/>
      <c r="H17" s="8" t="s">
        <v>37</v>
      </c>
      <c r="I17" s="19"/>
      <c r="J17" s="22" t="str">
        <f t="shared" si="1"/>
        <v/>
      </c>
      <c r="K17" s="16">
        <f ca="1">IF($L$7="März",DATE(YEAR(TODAY()),3,8),IF($L$7="Juni",DATE(YEAR(TODAY()),6,8),IF($L$7="September",DATE(YEAR(TODAY()),9,8),DATE(YEAR(TODAY()),12,8))))</f>
        <v>44628</v>
      </c>
      <c r="L17" s="19"/>
      <c r="M17" s="8" t="s">
        <v>37</v>
      </c>
      <c r="N17" s="19"/>
      <c r="O17" s="22" t="str">
        <f t="shared" si="2"/>
        <v/>
      </c>
    </row>
    <row r="18" spans="1:15" ht="14.25" customHeight="1" x14ac:dyDescent="0.25">
      <c r="A18" s="16">
        <f ca="1">IF($B$7="Januar",DATE(YEAR(TODAY()),1,9),IF($B$7="April",DATE(YEAR(TODAY()),4,9),IF($B$7="Juli",DATE(YEAR(TODAY()),7,9),DATE(YEAR(TODAY()),10,9))))</f>
        <v>44570</v>
      </c>
      <c r="B18" s="19"/>
      <c r="C18" s="8" t="s">
        <v>37</v>
      </c>
      <c r="D18" s="19"/>
      <c r="E18" s="22" t="str">
        <f t="shared" si="0"/>
        <v/>
      </c>
      <c r="F18" s="16">
        <f ca="1">IF($G$7="Februar",DATE(YEAR(TODAY()),2,9),IF($G$7="Mai",DATE(YEAR(TODAY()),5,9),IF($G$7="August",DATE(YEAR(TODAY()),8,9),DATE(YEAR(TODAY()),11,9))))</f>
        <v>44601</v>
      </c>
      <c r="G18" s="19"/>
      <c r="H18" s="8" t="s">
        <v>37</v>
      </c>
      <c r="I18" s="19"/>
      <c r="J18" s="22" t="str">
        <f t="shared" si="1"/>
        <v/>
      </c>
      <c r="K18" s="16">
        <f ca="1">IF($L$7="März",DATE(YEAR(TODAY()),3,9),IF($L$7="Juni",DATE(YEAR(TODAY()),6,9),IF($L$7="September",DATE(YEAR(TODAY()),9,9),DATE(YEAR(TODAY()),12,9))))</f>
        <v>44629</v>
      </c>
      <c r="L18" s="19"/>
      <c r="M18" s="8" t="s">
        <v>37</v>
      </c>
      <c r="N18" s="19"/>
      <c r="O18" s="22" t="str">
        <f t="shared" si="2"/>
        <v/>
      </c>
    </row>
    <row r="19" spans="1:15" ht="14.25" customHeight="1" x14ac:dyDescent="0.25">
      <c r="A19" s="16">
        <f ca="1">IF($B$7="Januar",DATE(YEAR(TODAY()),1,10),IF($B$7="April",DATE(YEAR(TODAY()),4,10),IF($B$7="Juli",DATE(YEAR(TODAY()),7,10),DATE(YEAR(TODAY()),10,10))))</f>
        <v>44571</v>
      </c>
      <c r="B19" s="19"/>
      <c r="C19" s="8" t="s">
        <v>37</v>
      </c>
      <c r="D19" s="19"/>
      <c r="E19" s="22" t="str">
        <f t="shared" si="0"/>
        <v/>
      </c>
      <c r="F19" s="16">
        <f ca="1">IF($G$7="Februar",DATE(YEAR(TODAY()),2,10),IF($G$7="Mai",DATE(YEAR(TODAY()),5,10),IF($G$7="August",DATE(YEAR(TODAY()),8,10),DATE(YEAR(TODAY()),11,10))))</f>
        <v>44602</v>
      </c>
      <c r="G19" s="19"/>
      <c r="H19" s="8" t="s">
        <v>37</v>
      </c>
      <c r="I19" s="19"/>
      <c r="J19" s="22" t="str">
        <f t="shared" si="1"/>
        <v/>
      </c>
      <c r="K19" s="16">
        <f ca="1">IF($L$7="März",DATE(YEAR(TODAY()),3,10),IF($L$7="Juni",DATE(YEAR(TODAY()),6,10),IF($L$7="September",DATE(YEAR(TODAY()),9,10),DATE(YEAR(TODAY()),12,10))))</f>
        <v>44630</v>
      </c>
      <c r="L19" s="19"/>
      <c r="M19" s="8" t="s">
        <v>37</v>
      </c>
      <c r="N19" s="19"/>
      <c r="O19" s="22" t="str">
        <f t="shared" si="2"/>
        <v/>
      </c>
    </row>
    <row r="20" spans="1:15" ht="14.25" customHeight="1" x14ac:dyDescent="0.25">
      <c r="A20" s="16">
        <f ca="1">IF($B$7="Januar",DATE(YEAR(TODAY()),1,11),IF($B$7="April",DATE(YEAR(TODAY()),4,11),IF($B$7="Juli",DATE(YEAR(TODAY()),7,11),DATE(YEAR(TODAY()),10,11))))</f>
        <v>44572</v>
      </c>
      <c r="B20" s="19"/>
      <c r="C20" s="8" t="s">
        <v>37</v>
      </c>
      <c r="D20" s="19"/>
      <c r="E20" s="22" t="str">
        <f t="shared" si="0"/>
        <v/>
      </c>
      <c r="F20" s="16">
        <f ca="1">IF($G$7="Februar",DATE(YEAR(TODAY()),2,11),IF($G$7="Mai",DATE(YEAR(TODAY()),5,11),IF($G$7="August",DATE(YEAR(TODAY()),8,11),DATE(YEAR(TODAY()),11,11))))</f>
        <v>44603</v>
      </c>
      <c r="G20" s="19"/>
      <c r="H20" s="8" t="s">
        <v>37</v>
      </c>
      <c r="I20" s="19"/>
      <c r="J20" s="22" t="str">
        <f t="shared" si="1"/>
        <v/>
      </c>
      <c r="K20" s="16">
        <f ca="1">IF($L$7="März",DATE(YEAR(TODAY()),3,11),IF($L$7="Juni",DATE(YEAR(TODAY()),6,11),IF($L$7="September",DATE(YEAR(TODAY()),9,11),DATE(YEAR(TODAY()),12,11))))</f>
        <v>44631</v>
      </c>
      <c r="L20" s="19"/>
      <c r="M20" s="8" t="s">
        <v>37</v>
      </c>
      <c r="N20" s="19"/>
      <c r="O20" s="22" t="str">
        <f t="shared" si="2"/>
        <v/>
      </c>
    </row>
    <row r="21" spans="1:15" ht="14.25" customHeight="1" x14ac:dyDescent="0.25">
      <c r="A21" s="16">
        <f ca="1">IF($B$7="Januar",DATE(YEAR(TODAY()),1,12),IF($B$7="April",DATE(YEAR(TODAY()),4,12),IF($B$7="Juli",DATE(YEAR(TODAY()),7,12),DATE(YEAR(TODAY()),10,12))))</f>
        <v>44573</v>
      </c>
      <c r="B21" s="19"/>
      <c r="C21" s="8" t="s">
        <v>37</v>
      </c>
      <c r="D21" s="19"/>
      <c r="E21" s="22" t="str">
        <f t="shared" si="0"/>
        <v/>
      </c>
      <c r="F21" s="16">
        <f ca="1">IF($G$7="Februar",DATE(YEAR(TODAY()),2,12),IF($G$7="Mai",DATE(YEAR(TODAY()),5,12),IF($G$7="August",DATE(YEAR(TODAY()),8,12),DATE(YEAR(TODAY()),11,12))))</f>
        <v>44604</v>
      </c>
      <c r="G21" s="19"/>
      <c r="H21" s="8" t="s">
        <v>37</v>
      </c>
      <c r="I21" s="19"/>
      <c r="J21" s="22" t="str">
        <f t="shared" si="1"/>
        <v/>
      </c>
      <c r="K21" s="16">
        <f ca="1">IF($L$7="März",DATE(YEAR(TODAY()),3,12),IF($L$7="Juni",DATE(YEAR(TODAY()),6,12),IF($L$7="September",DATE(YEAR(TODAY()),9,12),DATE(YEAR(TODAY()),12,12))))</f>
        <v>44632</v>
      </c>
      <c r="L21" s="19"/>
      <c r="M21" s="8" t="s">
        <v>37</v>
      </c>
      <c r="N21" s="19"/>
      <c r="O21" s="22" t="str">
        <f t="shared" si="2"/>
        <v/>
      </c>
    </row>
    <row r="22" spans="1:15" ht="14.25" customHeight="1" x14ac:dyDescent="0.25">
      <c r="A22" s="16">
        <f ca="1">IF($B$7="Januar",DATE(YEAR(TODAY()),1,13),IF($B$7="April",DATE(YEAR(TODAY()),4,13),IF($B$7="Juli",DATE(YEAR(TODAY()),7,13),DATE(YEAR(TODAY()),10,13))))</f>
        <v>44574</v>
      </c>
      <c r="B22" s="19"/>
      <c r="C22" s="8" t="s">
        <v>37</v>
      </c>
      <c r="D22" s="19"/>
      <c r="E22" s="22" t="str">
        <f t="shared" si="0"/>
        <v/>
      </c>
      <c r="F22" s="16">
        <f ca="1">IF($G$7="Februar",DATE(YEAR(TODAY()),2,13),IF($G$7="Mai",DATE(YEAR(TODAY()),5,13),IF($G$7="August",DATE(YEAR(TODAY()),8,13),DATE(YEAR(TODAY()),11,13))))</f>
        <v>44605</v>
      </c>
      <c r="G22" s="19"/>
      <c r="H22" s="8" t="s">
        <v>37</v>
      </c>
      <c r="I22" s="19"/>
      <c r="J22" s="22" t="str">
        <f t="shared" si="1"/>
        <v/>
      </c>
      <c r="K22" s="16">
        <f ca="1">IF($L$7="März",DATE(YEAR(TODAY()),3,13),IF($L$7="Juni",DATE(YEAR(TODAY()),6,13),IF($L$7="September",DATE(YEAR(TODAY()),9,13),DATE(YEAR(TODAY()),12,13))))</f>
        <v>44633</v>
      </c>
      <c r="L22" s="19"/>
      <c r="M22" s="8" t="s">
        <v>37</v>
      </c>
      <c r="N22" s="19"/>
      <c r="O22" s="22" t="str">
        <f t="shared" si="2"/>
        <v/>
      </c>
    </row>
    <row r="23" spans="1:15" ht="14.25" customHeight="1" x14ac:dyDescent="0.25">
      <c r="A23" s="16">
        <f ca="1">IF($B$7="Januar",DATE(YEAR(TODAY()),1,14),IF($B$7="April",DATE(YEAR(TODAY()),4,14),IF($B$7="Juli",DATE(YEAR(TODAY()),7,14),DATE(YEAR(TODAY()),10,14))))</f>
        <v>44575</v>
      </c>
      <c r="B23" s="19"/>
      <c r="C23" s="8" t="s">
        <v>37</v>
      </c>
      <c r="D23" s="19"/>
      <c r="E23" s="22" t="str">
        <f t="shared" si="0"/>
        <v/>
      </c>
      <c r="F23" s="16">
        <f ca="1">IF($G$7="Februar",DATE(YEAR(TODAY()),2,14),IF($G$7="Mai",DATE(YEAR(TODAY()),5,14),IF($G$7="August",DATE(YEAR(TODAY()),8,14),DATE(YEAR(TODAY()),11,14))))</f>
        <v>44606</v>
      </c>
      <c r="G23" s="19"/>
      <c r="H23" s="8" t="s">
        <v>37</v>
      </c>
      <c r="I23" s="19"/>
      <c r="J23" s="22" t="str">
        <f t="shared" si="1"/>
        <v/>
      </c>
      <c r="K23" s="16">
        <f ca="1">IF($L$7="März",DATE(YEAR(TODAY()),3,14),IF($L$7="Juni",DATE(YEAR(TODAY()),6,14),IF($L$7="September",DATE(YEAR(TODAY()),9,14),DATE(YEAR(TODAY()),12,14))))</f>
        <v>44634</v>
      </c>
      <c r="L23" s="19"/>
      <c r="M23" s="8" t="s">
        <v>37</v>
      </c>
      <c r="N23" s="19"/>
      <c r="O23" s="22" t="str">
        <f t="shared" si="2"/>
        <v/>
      </c>
    </row>
    <row r="24" spans="1:15" ht="14.25" customHeight="1" x14ac:dyDescent="0.25">
      <c r="A24" s="16">
        <f ca="1">IF($B$7="Januar",DATE(YEAR(TODAY()),1,15),IF($B$7="April",DATE(YEAR(TODAY()),4,15),IF($B$7="Juli",DATE(YEAR(TODAY()),7,15),DATE(YEAR(TODAY()),10,15))))</f>
        <v>44576</v>
      </c>
      <c r="B24" s="19"/>
      <c r="C24" s="8" t="s">
        <v>37</v>
      </c>
      <c r="D24" s="19"/>
      <c r="E24" s="22" t="str">
        <f t="shared" si="0"/>
        <v/>
      </c>
      <c r="F24" s="16">
        <f ca="1">IF($G$7="Februar",DATE(YEAR(TODAY()),2,15),IF($G$7="Mai",DATE(YEAR(TODAY()),5,15),IF($G$7="August",DATE(YEAR(TODAY()),8,15),DATE(YEAR(TODAY()),11,15))))</f>
        <v>44607</v>
      </c>
      <c r="G24" s="19"/>
      <c r="H24" s="8" t="s">
        <v>37</v>
      </c>
      <c r="I24" s="19"/>
      <c r="J24" s="22" t="str">
        <f t="shared" si="1"/>
        <v/>
      </c>
      <c r="K24" s="16">
        <f ca="1">IF($L$7="März",DATE(YEAR(TODAY()),3,15),IF($L$7="Juni",DATE(YEAR(TODAY()),6,15),IF($L$7="September",DATE(YEAR(TODAY()),9,15),DATE(YEAR(TODAY()),12,15))))</f>
        <v>44635</v>
      </c>
      <c r="L24" s="19"/>
      <c r="M24" s="8" t="s">
        <v>37</v>
      </c>
      <c r="N24" s="19"/>
      <c r="O24" s="22" t="str">
        <f t="shared" si="2"/>
        <v/>
      </c>
    </row>
    <row r="25" spans="1:15" ht="14.25" customHeight="1" x14ac:dyDescent="0.25">
      <c r="A25" s="16">
        <f ca="1">IF($B$7="Januar",DATE(YEAR(TODAY()),1,16),IF($B$7="April",DATE(YEAR(TODAY()),4,16),IF($B$7="Juli",DATE(YEAR(TODAY()),7,16),DATE(YEAR(TODAY()),10,16))))</f>
        <v>44577</v>
      </c>
      <c r="B25" s="19"/>
      <c r="C25" s="8" t="s">
        <v>37</v>
      </c>
      <c r="D25" s="19"/>
      <c r="E25" s="22" t="str">
        <f t="shared" si="0"/>
        <v/>
      </c>
      <c r="F25" s="16">
        <f ca="1">IF($G$7="Februar",DATE(YEAR(TODAY()),2,16),IF($G$7="Mai",DATE(YEAR(TODAY()),5,16),IF($G$7="August",DATE(YEAR(TODAY()),8,16),DATE(YEAR(TODAY()),11,16))))</f>
        <v>44608</v>
      </c>
      <c r="G25" s="19"/>
      <c r="H25" s="8" t="s">
        <v>37</v>
      </c>
      <c r="I25" s="19"/>
      <c r="J25" s="22" t="str">
        <f t="shared" si="1"/>
        <v/>
      </c>
      <c r="K25" s="16">
        <f ca="1">IF($L$7="März",DATE(YEAR(TODAY()),3,16),IF($L$7="Juni",DATE(YEAR(TODAY()),6,16),IF($L$7="September",DATE(YEAR(TODAY()),9,16),DATE(YEAR(TODAY()),12,16))))</f>
        <v>44636</v>
      </c>
      <c r="L25" s="19"/>
      <c r="M25" s="8" t="s">
        <v>37</v>
      </c>
      <c r="N25" s="19"/>
      <c r="O25" s="22" t="str">
        <f t="shared" si="2"/>
        <v/>
      </c>
    </row>
    <row r="26" spans="1:15" ht="14.25" customHeight="1" x14ac:dyDescent="0.25">
      <c r="A26" s="16">
        <f ca="1">IF($B$7="Januar",DATE(YEAR(TODAY()),1,17),IF($B$7="April",DATE(YEAR(TODAY()),4,17),IF($B$7="Juli",DATE(YEAR(TODAY()),7,17),DATE(YEAR(TODAY()),10,17))))</f>
        <v>44578</v>
      </c>
      <c r="B26" s="19"/>
      <c r="C26" s="8" t="s">
        <v>37</v>
      </c>
      <c r="D26" s="19"/>
      <c r="E26" s="22" t="str">
        <f t="shared" si="0"/>
        <v/>
      </c>
      <c r="F26" s="16">
        <f ca="1">IF($G$7="Februar",DATE(YEAR(TODAY()),2,17),IF($G$7="Mai",DATE(YEAR(TODAY()),5,17),IF($G$7="August",DATE(YEAR(TODAY()),8,17),DATE(YEAR(TODAY()),11,17))))</f>
        <v>44609</v>
      </c>
      <c r="G26" s="19"/>
      <c r="H26" s="8" t="s">
        <v>37</v>
      </c>
      <c r="I26" s="19"/>
      <c r="J26" s="22" t="str">
        <f t="shared" si="1"/>
        <v/>
      </c>
      <c r="K26" s="16">
        <f ca="1">IF($L$7="März",DATE(YEAR(TODAY()),3,17),IF($L$7="Juni",DATE(YEAR(TODAY()),6,17),IF($L$7="September",DATE(YEAR(TODAY()),9,17),DATE(YEAR(TODAY()),12,17))))</f>
        <v>44637</v>
      </c>
      <c r="L26" s="19"/>
      <c r="M26" s="8" t="s">
        <v>37</v>
      </c>
      <c r="N26" s="19"/>
      <c r="O26" s="22" t="str">
        <f t="shared" si="2"/>
        <v/>
      </c>
    </row>
    <row r="27" spans="1:15" ht="14.25" customHeight="1" x14ac:dyDescent="0.25">
      <c r="A27" s="16">
        <f ca="1">IF($B$7="Januar",DATE(YEAR(TODAY()),1,18),IF($B$7="April",DATE(YEAR(TODAY()),4,18),IF($B$7="Juli",DATE(YEAR(TODAY()),7,18),DATE(YEAR(TODAY()),10,18))))</f>
        <v>44579</v>
      </c>
      <c r="B27" s="19"/>
      <c r="C27" s="8" t="s">
        <v>37</v>
      </c>
      <c r="D27" s="19"/>
      <c r="E27" s="22" t="str">
        <f t="shared" si="0"/>
        <v/>
      </c>
      <c r="F27" s="16">
        <f ca="1">IF($G$7="Februar",DATE(YEAR(TODAY()),2,18),IF($G$7="Mai",DATE(YEAR(TODAY()),5,18),IF($G$7="August",DATE(YEAR(TODAY()),8,18),DATE(YEAR(TODAY()),11,18))))</f>
        <v>44610</v>
      </c>
      <c r="G27" s="19"/>
      <c r="H27" s="8" t="s">
        <v>37</v>
      </c>
      <c r="I27" s="19"/>
      <c r="J27" s="22" t="str">
        <f t="shared" si="1"/>
        <v/>
      </c>
      <c r="K27" s="16">
        <f ca="1">IF($L$7="März",DATE(YEAR(TODAY()),3,18),IF($L$7="Juni",DATE(YEAR(TODAY()),6,18),IF($L$7="September",DATE(YEAR(TODAY()),9,18),DATE(YEAR(TODAY()),12,18))))</f>
        <v>44638</v>
      </c>
      <c r="L27" s="19"/>
      <c r="M27" s="8" t="s">
        <v>37</v>
      </c>
      <c r="N27" s="19"/>
      <c r="O27" s="22" t="str">
        <f t="shared" si="2"/>
        <v/>
      </c>
    </row>
    <row r="28" spans="1:15" ht="14.25" customHeight="1" x14ac:dyDescent="0.25">
      <c r="A28" s="16">
        <f ca="1">IF($B$7="Januar",DATE(YEAR(TODAY()),1,19),IF($B$7="April",DATE(YEAR(TODAY()),4,19),IF($B$7="Juli",DATE(YEAR(TODAY()),7,19),DATE(YEAR(TODAY()),10,19))))</f>
        <v>44580</v>
      </c>
      <c r="B28" s="19"/>
      <c r="C28" s="8" t="s">
        <v>37</v>
      </c>
      <c r="D28" s="19"/>
      <c r="E28" s="22" t="str">
        <f t="shared" si="0"/>
        <v/>
      </c>
      <c r="F28" s="16">
        <f ca="1">IF($G$7="Februar",DATE(YEAR(TODAY()),2,19),IF($G$7="Mai",DATE(YEAR(TODAY()),5,19),IF($G$7="August",DATE(YEAR(TODAY()),8,19),DATE(YEAR(TODAY()),11,19))))</f>
        <v>44611</v>
      </c>
      <c r="G28" s="19"/>
      <c r="H28" s="8" t="s">
        <v>37</v>
      </c>
      <c r="I28" s="19"/>
      <c r="J28" s="22" t="str">
        <f t="shared" si="1"/>
        <v/>
      </c>
      <c r="K28" s="16">
        <f ca="1">IF($L$7="März",DATE(YEAR(TODAY()),3,19),IF($L$7="Juni",DATE(YEAR(TODAY()),6,19),IF($L$7="September",DATE(YEAR(TODAY()),9,19),DATE(YEAR(TODAY()),12,19))))</f>
        <v>44639</v>
      </c>
      <c r="L28" s="19"/>
      <c r="M28" s="8" t="s">
        <v>37</v>
      </c>
      <c r="N28" s="19"/>
      <c r="O28" s="22" t="str">
        <f t="shared" si="2"/>
        <v/>
      </c>
    </row>
    <row r="29" spans="1:15" ht="14.25" customHeight="1" x14ac:dyDescent="0.25">
      <c r="A29" s="16">
        <f ca="1">IF($B$7="Januar",DATE(YEAR(TODAY()),1,20),IF($B$7="April",DATE(YEAR(TODAY()),4,20),IF($B$7="Juli",DATE(YEAR(TODAY()),7,20),DATE(YEAR(TODAY()),10,20))))</f>
        <v>44581</v>
      </c>
      <c r="B29" s="19"/>
      <c r="C29" s="8" t="s">
        <v>37</v>
      </c>
      <c r="D29" s="19"/>
      <c r="E29" s="22" t="str">
        <f t="shared" si="0"/>
        <v/>
      </c>
      <c r="F29" s="16">
        <f ca="1">IF($G$7="Februar",DATE(YEAR(TODAY()),2,20),IF($G$7="Mai",DATE(YEAR(TODAY()),5,20),IF($G$7="August",DATE(YEAR(TODAY()),8,20),DATE(YEAR(TODAY()),11,20))))</f>
        <v>44612</v>
      </c>
      <c r="G29" s="19"/>
      <c r="H29" s="8" t="s">
        <v>37</v>
      </c>
      <c r="I29" s="19"/>
      <c r="J29" s="22" t="str">
        <f t="shared" si="1"/>
        <v/>
      </c>
      <c r="K29" s="16">
        <f ca="1">IF($L$7="März",DATE(YEAR(TODAY()),3,20),IF($L$7="Juni",DATE(YEAR(TODAY()),6,20),IF($L$7="September",DATE(YEAR(TODAY()),9,20),DATE(YEAR(TODAY()),12,20))))</f>
        <v>44640</v>
      </c>
      <c r="L29" s="19"/>
      <c r="M29" s="8" t="s">
        <v>37</v>
      </c>
      <c r="N29" s="19"/>
      <c r="O29" s="22" t="str">
        <f t="shared" si="2"/>
        <v/>
      </c>
    </row>
    <row r="30" spans="1:15" ht="14.25" customHeight="1" x14ac:dyDescent="0.25">
      <c r="A30" s="16">
        <f ca="1">IF($B$7="Januar",DATE(YEAR(TODAY()),1,21),IF($B$7="April",DATE(YEAR(TODAY()),4,21),IF($B$7="Juli",DATE(YEAR(TODAY()),7,21),DATE(YEAR(TODAY()),10,21))))</f>
        <v>44582</v>
      </c>
      <c r="B30" s="19"/>
      <c r="C30" s="8" t="s">
        <v>37</v>
      </c>
      <c r="D30" s="19"/>
      <c r="E30" s="22" t="str">
        <f t="shared" si="0"/>
        <v/>
      </c>
      <c r="F30" s="16">
        <f ca="1">IF($G$7="Februar",DATE(YEAR(TODAY()),2,21),IF($G$7="Mai",DATE(YEAR(TODAY()),5,21),IF($G$7="August",DATE(YEAR(TODAY()),8,21),DATE(YEAR(TODAY()),11,21))))</f>
        <v>44613</v>
      </c>
      <c r="G30" s="19"/>
      <c r="H30" s="8" t="s">
        <v>37</v>
      </c>
      <c r="I30" s="19"/>
      <c r="J30" s="22" t="str">
        <f t="shared" si="1"/>
        <v/>
      </c>
      <c r="K30" s="16">
        <f ca="1">IF($L$7="März",DATE(YEAR(TODAY()),3,21),IF($L$7="Juni",DATE(YEAR(TODAY()),6,21),IF($L$7="September",DATE(YEAR(TODAY()),9,21),DATE(YEAR(TODAY()),12,21))))</f>
        <v>44641</v>
      </c>
      <c r="L30" s="19"/>
      <c r="M30" s="8" t="s">
        <v>37</v>
      </c>
      <c r="N30" s="19"/>
      <c r="O30" s="22" t="str">
        <f t="shared" si="2"/>
        <v/>
      </c>
    </row>
    <row r="31" spans="1:15" ht="14.25" customHeight="1" x14ac:dyDescent="0.25">
      <c r="A31" s="16">
        <f ca="1">IF($B$7="Januar",DATE(YEAR(TODAY()),1,22),IF($B$7="April",DATE(YEAR(TODAY()),4,22),IF($B$7="Juli",DATE(YEAR(TODAY()),7,22),DATE(YEAR(TODAY()),10,22))))</f>
        <v>44583</v>
      </c>
      <c r="B31" s="19"/>
      <c r="C31" s="8" t="s">
        <v>37</v>
      </c>
      <c r="D31" s="19"/>
      <c r="E31" s="22" t="str">
        <f t="shared" si="0"/>
        <v/>
      </c>
      <c r="F31" s="16">
        <f ca="1">IF($G$7="Februar",DATE(YEAR(TODAY()),2,22),IF($G$7="Mai",DATE(YEAR(TODAY()),5,22),IF($G$7="August",DATE(YEAR(TODAY()),8,22),DATE(YEAR(TODAY()),11,22))))</f>
        <v>44614</v>
      </c>
      <c r="G31" s="19"/>
      <c r="H31" s="8" t="s">
        <v>37</v>
      </c>
      <c r="I31" s="19"/>
      <c r="J31" s="22" t="str">
        <f t="shared" si="1"/>
        <v/>
      </c>
      <c r="K31" s="16">
        <f ca="1">IF($L$7="März",DATE(YEAR(TODAY()),3,22),IF($L$7="Juni",DATE(YEAR(TODAY()),6,22),IF($L$7="September",DATE(YEAR(TODAY()),9,22),DATE(YEAR(TODAY()),12,22))))</f>
        <v>44642</v>
      </c>
      <c r="L31" s="19"/>
      <c r="M31" s="8" t="s">
        <v>37</v>
      </c>
      <c r="N31" s="19"/>
      <c r="O31" s="22" t="str">
        <f t="shared" si="2"/>
        <v/>
      </c>
    </row>
    <row r="32" spans="1:15" ht="14.25" customHeight="1" x14ac:dyDescent="0.25">
      <c r="A32" s="16">
        <f ca="1">IF($B$7="Januar",DATE(YEAR(TODAY()),1,23),IF($B$7="April",DATE(YEAR(TODAY()),4,23),IF($B$7="Juli",DATE(YEAR(TODAY()),7,23),DATE(YEAR(TODAY()),10,23))))</f>
        <v>44584</v>
      </c>
      <c r="B32" s="19"/>
      <c r="C32" s="8" t="s">
        <v>37</v>
      </c>
      <c r="D32" s="19"/>
      <c r="E32" s="22" t="str">
        <f t="shared" si="0"/>
        <v/>
      </c>
      <c r="F32" s="16">
        <f ca="1">IF($G$7="Februar",DATE(YEAR(TODAY()),2,23),IF($G$7="Mai",DATE(YEAR(TODAY()),5,23),IF($G$7="August",DATE(YEAR(TODAY()),8,23),DATE(YEAR(TODAY()),11,23))))</f>
        <v>44615</v>
      </c>
      <c r="G32" s="19"/>
      <c r="H32" s="8" t="s">
        <v>37</v>
      </c>
      <c r="I32" s="19"/>
      <c r="J32" s="22" t="str">
        <f t="shared" si="1"/>
        <v/>
      </c>
      <c r="K32" s="16">
        <f ca="1">IF($L$7="März",DATE(YEAR(TODAY()),3,23),IF($L$7="Juni",DATE(YEAR(TODAY()),6,23),IF($L$7="September",DATE(YEAR(TODAY()),9,23),DATE(YEAR(TODAY()),12,23))))</f>
        <v>44643</v>
      </c>
      <c r="L32" s="19"/>
      <c r="M32" s="8" t="s">
        <v>37</v>
      </c>
      <c r="N32" s="19"/>
      <c r="O32" s="22" t="str">
        <f t="shared" si="2"/>
        <v/>
      </c>
    </row>
    <row r="33" spans="1:15" ht="14.25" customHeight="1" x14ac:dyDescent="0.25">
      <c r="A33" s="16">
        <f ca="1">IF($B$7="Januar",DATE(YEAR(TODAY()),1,24),IF($B$7="April",DATE(YEAR(TODAY()),4,24),IF($B$7="Juli",DATE(YEAR(TODAY()),7,24),DATE(YEAR(TODAY()),10,24))))</f>
        <v>44585</v>
      </c>
      <c r="B33" s="19"/>
      <c r="C33" s="8" t="s">
        <v>37</v>
      </c>
      <c r="D33" s="19"/>
      <c r="E33" s="22" t="str">
        <f t="shared" si="0"/>
        <v/>
      </c>
      <c r="F33" s="16">
        <f ca="1">IF($G$7="Februar",DATE(YEAR(TODAY()),2,24),IF($G$7="Mai",DATE(YEAR(TODAY()),5,24),IF($G$7="August",DATE(YEAR(TODAY()),8,24),DATE(YEAR(TODAY()),11,24))))</f>
        <v>44616</v>
      </c>
      <c r="G33" s="19"/>
      <c r="H33" s="8" t="s">
        <v>37</v>
      </c>
      <c r="I33" s="19"/>
      <c r="J33" s="22" t="str">
        <f t="shared" si="1"/>
        <v/>
      </c>
      <c r="K33" s="16">
        <f ca="1">IF($L$7="März",DATE(YEAR(TODAY()),3,24),IF($L$7="Juni",DATE(YEAR(TODAY()),6,24),IF($L$7="September",DATE(YEAR(TODAY()),9,24),DATE(YEAR(TODAY()),12,24))))</f>
        <v>44644</v>
      </c>
      <c r="L33" s="19"/>
      <c r="M33" s="8" t="s">
        <v>37</v>
      </c>
      <c r="N33" s="19"/>
      <c r="O33" s="22" t="str">
        <f t="shared" si="2"/>
        <v/>
      </c>
    </row>
    <row r="34" spans="1:15" ht="14.25" customHeight="1" x14ac:dyDescent="0.25">
      <c r="A34" s="16">
        <f ca="1">IF($B$7="Januar",DATE(YEAR(TODAY()),1,25),IF($B$7="April",DATE(YEAR(TODAY()),4,25),IF($B$7="Juli",DATE(YEAR(TODAY()),7,25),DATE(YEAR(TODAY()),10,25))))</f>
        <v>44586</v>
      </c>
      <c r="B34" s="19"/>
      <c r="C34" s="8" t="s">
        <v>37</v>
      </c>
      <c r="D34" s="19"/>
      <c r="E34" s="22" t="str">
        <f t="shared" si="0"/>
        <v/>
      </c>
      <c r="F34" s="16">
        <f ca="1">IF($G$7="Februar",DATE(YEAR(TODAY()),2,25),IF($G$7="Mai",DATE(YEAR(TODAY()),5,25),IF($G$7="August",DATE(YEAR(TODAY()),8,25),DATE(YEAR(TODAY()),11,25))))</f>
        <v>44617</v>
      </c>
      <c r="G34" s="19"/>
      <c r="H34" s="8" t="s">
        <v>37</v>
      </c>
      <c r="I34" s="19"/>
      <c r="J34" s="22" t="str">
        <f t="shared" si="1"/>
        <v/>
      </c>
      <c r="K34" s="16">
        <f ca="1">IF($L$7="März",DATE(YEAR(TODAY()),3,25),IF($L$7="Juni",DATE(YEAR(TODAY()),6,25),IF($L$7="September",DATE(YEAR(TODAY()),9,25),DATE(YEAR(TODAY()),12,25))))</f>
        <v>44645</v>
      </c>
      <c r="L34" s="19"/>
      <c r="M34" s="8" t="s">
        <v>37</v>
      </c>
      <c r="N34" s="19"/>
      <c r="O34" s="22" t="str">
        <f t="shared" si="2"/>
        <v/>
      </c>
    </row>
    <row r="35" spans="1:15" ht="14.25" customHeight="1" x14ac:dyDescent="0.25">
      <c r="A35" s="16">
        <f ca="1">IF($B$7="Januar",DATE(YEAR(TODAY()),1,26),IF($B$7="April",DATE(YEAR(TODAY()),4,26),IF($B$7="Juli",DATE(YEAR(TODAY()),7,26),DATE(YEAR(TODAY()),10,26))))</f>
        <v>44587</v>
      </c>
      <c r="B35" s="19"/>
      <c r="C35" s="8" t="s">
        <v>37</v>
      </c>
      <c r="D35" s="19"/>
      <c r="E35" s="22" t="str">
        <f t="shared" si="0"/>
        <v/>
      </c>
      <c r="F35" s="16">
        <f ca="1">IF($G$7="Februar",DATE(YEAR(TODAY()),2,26),IF($G$7="Mai",DATE(YEAR(TODAY()),5,26),IF($G$7="August",DATE(YEAR(TODAY()),8,26),DATE(YEAR(TODAY()),11,26))))</f>
        <v>44618</v>
      </c>
      <c r="G35" s="19"/>
      <c r="H35" s="8" t="s">
        <v>37</v>
      </c>
      <c r="I35" s="19"/>
      <c r="J35" s="22" t="str">
        <f t="shared" si="1"/>
        <v/>
      </c>
      <c r="K35" s="16">
        <f ca="1">IF($L$7="März",DATE(YEAR(TODAY()),3,26),IF($L$7="Juni",DATE(YEAR(TODAY()),6,26),IF($L$7="September",DATE(YEAR(TODAY()),9,26),DATE(YEAR(TODAY()),12,26))))</f>
        <v>44646</v>
      </c>
      <c r="L35" s="19"/>
      <c r="M35" s="8" t="s">
        <v>37</v>
      </c>
      <c r="N35" s="19"/>
      <c r="O35" s="22" t="str">
        <f t="shared" si="2"/>
        <v/>
      </c>
    </row>
    <row r="36" spans="1:15" ht="14.25" customHeight="1" x14ac:dyDescent="0.25">
      <c r="A36" s="16">
        <f ca="1">IF($B$7="Januar",DATE(YEAR(TODAY()),1,27),IF($B$7="April",DATE(YEAR(TODAY()),4,27),IF($B$7="Juli",DATE(YEAR(TODAY()),7,27),DATE(YEAR(TODAY()),10,27))))</f>
        <v>44588</v>
      </c>
      <c r="B36" s="19"/>
      <c r="C36" s="8" t="s">
        <v>37</v>
      </c>
      <c r="D36" s="19"/>
      <c r="E36" s="22" t="str">
        <f t="shared" si="0"/>
        <v/>
      </c>
      <c r="F36" s="16">
        <f ca="1">IF($G$7="Februar",DATE(YEAR(TODAY()),2,27),IF($G$7="Mai",DATE(YEAR(TODAY()),5,27),IF($G$7="August",DATE(YEAR(TODAY()),8,27),DATE(YEAR(TODAY()),11,27))))</f>
        <v>44619</v>
      </c>
      <c r="G36" s="19"/>
      <c r="H36" s="8" t="s">
        <v>37</v>
      </c>
      <c r="I36" s="19"/>
      <c r="J36" s="22" t="str">
        <f t="shared" si="1"/>
        <v/>
      </c>
      <c r="K36" s="16">
        <f ca="1">IF($L$7="März",DATE(YEAR(TODAY()),3,27),IF($L$7="Juni",DATE(YEAR(TODAY()),6,27),IF($L$7="September",DATE(YEAR(TODAY()),9,27),DATE(YEAR(TODAY()),12,27))))</f>
        <v>44647</v>
      </c>
      <c r="L36" s="19"/>
      <c r="M36" s="8" t="s">
        <v>37</v>
      </c>
      <c r="N36" s="19"/>
      <c r="O36" s="22" t="str">
        <f t="shared" si="2"/>
        <v/>
      </c>
    </row>
    <row r="37" spans="1:15" ht="14.25" customHeight="1" x14ac:dyDescent="0.25">
      <c r="A37" s="16">
        <f ca="1">IF($B$7="Januar",DATE(YEAR(TODAY()),1,28),IF($B$7="April",DATE(YEAR(TODAY()),4,28),IF($B$7="Juli",DATE(YEAR(TODAY()),7,28),DATE(YEAR(TODAY()),10,28))))</f>
        <v>44589</v>
      </c>
      <c r="B37" s="19"/>
      <c r="C37" s="8" t="s">
        <v>37</v>
      </c>
      <c r="D37" s="19"/>
      <c r="E37" s="22" t="str">
        <f t="shared" si="0"/>
        <v/>
      </c>
      <c r="F37" s="16">
        <f ca="1">IF($G$7="Februar",DATE(YEAR(TODAY()),2,28),IF($G$7="Mai",DATE(YEAR(TODAY()),5,28),IF($G$7="August",DATE(YEAR(TODAY()),8,28),DATE(YEAR(TODAY()),11,28))))</f>
        <v>44620</v>
      </c>
      <c r="G37" s="19"/>
      <c r="H37" s="8" t="s">
        <v>37</v>
      </c>
      <c r="I37" s="19"/>
      <c r="J37" s="22" t="str">
        <f t="shared" si="1"/>
        <v/>
      </c>
      <c r="K37" s="16">
        <f ca="1">IF($L$7="März",DATE(YEAR(TODAY()),3,28),IF($L$7="Juni",DATE(YEAR(TODAY()),6,28),IF($L$7="September",DATE(YEAR(TODAY()),9,28),DATE(YEAR(TODAY()),12,28))))</f>
        <v>44648</v>
      </c>
      <c r="L37" s="19"/>
      <c r="M37" s="8" t="s">
        <v>37</v>
      </c>
      <c r="N37" s="19"/>
      <c r="O37" s="22" t="str">
        <f t="shared" si="2"/>
        <v/>
      </c>
    </row>
    <row r="38" spans="1:15" ht="14.25" customHeight="1" x14ac:dyDescent="0.25">
      <c r="A38" s="16">
        <f ca="1">IF($B$7="Januar",DATE(YEAR(TODAY()),1,29),IF($B$7="April",DATE(YEAR(TODAY()),4,29),IF($B$7="Juli",DATE(YEAR(TODAY()),7,29),DATE(YEAR(TODAY()),10,29))))</f>
        <v>44590</v>
      </c>
      <c r="B38" s="19"/>
      <c r="C38" s="8" t="s">
        <v>37</v>
      </c>
      <c r="D38" s="19"/>
      <c r="E38" s="22" t="str">
        <f t="shared" si="0"/>
        <v/>
      </c>
      <c r="F38" s="16" t="str">
        <f ca="1">IF($G$7="Februar",IF(F37=EOMONTH(F37,0),"",DATE(YEAR(TODAY()),2,29)),IF($G$7="Mai",DATE(YEAR(TODAY()),5,29),IF($G$7="August",DATE(YEAR(TODAY()),8,29),DATE(YEAR(TODAY()),11,29))))</f>
        <v/>
      </c>
      <c r="G38" s="19"/>
      <c r="H38" s="8" t="s">
        <v>37</v>
      </c>
      <c r="I38" s="19"/>
      <c r="J38" s="22" t="str">
        <f t="shared" si="1"/>
        <v/>
      </c>
      <c r="K38" s="16">
        <f ca="1">IF($L$7="März",DATE(YEAR(TODAY()),3,29),IF($L$7="Juni",DATE(YEAR(TODAY()),6,29),IF($L$7="September",DATE(YEAR(TODAY()),9,29),DATE(YEAR(TODAY()),12,29))))</f>
        <v>44649</v>
      </c>
      <c r="L38" s="19"/>
      <c r="M38" s="8" t="s">
        <v>37</v>
      </c>
      <c r="N38" s="19"/>
      <c r="O38" s="22" t="str">
        <f t="shared" si="2"/>
        <v/>
      </c>
    </row>
    <row r="39" spans="1:15" ht="14.25" customHeight="1" x14ac:dyDescent="0.25">
      <c r="A39" s="16">
        <f ca="1">IF($B$7="Januar",DATE(YEAR(TODAY()),1,30),IF($B$7="April",DATE(YEAR(TODAY()),4,30),IF($B$7="Juli",DATE(YEAR(TODAY()),7,30),DATE(YEAR(TODAY()),10,30))))</f>
        <v>44591</v>
      </c>
      <c r="B39" s="19"/>
      <c r="C39" s="8" t="s">
        <v>37</v>
      </c>
      <c r="D39" s="19"/>
      <c r="E39" s="22" t="str">
        <f t="shared" si="0"/>
        <v/>
      </c>
      <c r="F39" s="16" t="str">
        <f ca="1">IF($G$7="Februar","",IF($G$7="Mai",DATE(YEAR(TODAY()),5,30),IF($G$7="August",DATE(YEAR(TODAY()),8,30),DATE(YEAR(TODAY()),11,30))))</f>
        <v/>
      </c>
      <c r="G39" s="19"/>
      <c r="H39" s="8" t="s">
        <v>37</v>
      </c>
      <c r="I39" s="19"/>
      <c r="J39" s="22" t="str">
        <f t="shared" si="1"/>
        <v/>
      </c>
      <c r="K39" s="16">
        <f ca="1">IF($L$7="März",DATE(YEAR(TODAY()),3,30),IF($L$7="Juni",DATE(YEAR(TODAY()),6,30),IF($L$7="September",DATE(YEAR(TODAY()),9,30),DATE(YEAR(TODAY()),12,30))))</f>
        <v>44650</v>
      </c>
      <c r="L39" s="19"/>
      <c r="M39" s="8" t="s">
        <v>37</v>
      </c>
      <c r="N39" s="19"/>
      <c r="O39" s="22" t="str">
        <f t="shared" si="2"/>
        <v/>
      </c>
    </row>
    <row r="40" spans="1:15" ht="14.25" customHeight="1" x14ac:dyDescent="0.25">
      <c r="A40" s="16">
        <f ca="1">IF($B$7="Januar",DATE(YEAR(TODAY()),1,31),IF($B$7="April","",IF($B$7="Juli",DATE(YEAR(TODAY()),7,31),DATE(YEAR(TODAY()),10,31))))</f>
        <v>44592</v>
      </c>
      <c r="B40" s="19"/>
      <c r="C40" s="8" t="s">
        <v>37</v>
      </c>
      <c r="D40" s="19"/>
      <c r="E40" s="22" t="str">
        <f t="shared" si="0"/>
        <v/>
      </c>
      <c r="F40" s="16" t="str">
        <f ca="1">IF($G$7="Februar","",IF($G$7="Mai",DATE(YEAR(TODAY()),5,31),IF($G$7="August",DATE(YEAR(TODAY()),8,31),"")))</f>
        <v/>
      </c>
      <c r="G40" s="19"/>
      <c r="H40" s="8" t="s">
        <v>37</v>
      </c>
      <c r="I40" s="19"/>
      <c r="J40" s="22" t="str">
        <f>IF(I40="","",(I40-G40)*4)</f>
        <v/>
      </c>
      <c r="K40" s="16">
        <f ca="1">IF($L$7="März",DATE(YEAR(TODAY()),3,31),IF($L$7="Juni","",IF($L$7="September","",DATE(YEAR(TODAY()),12,31))))</f>
        <v>44651</v>
      </c>
      <c r="L40" s="19"/>
      <c r="M40" s="8" t="s">
        <v>37</v>
      </c>
      <c r="N40" s="19"/>
      <c r="O40" s="22" t="str">
        <f t="shared" si="2"/>
        <v/>
      </c>
    </row>
    <row r="41" spans="1:15" ht="14.25" customHeight="1" x14ac:dyDescent="0.25">
      <c r="A41" s="9"/>
      <c r="B41" s="25" t="s">
        <v>40</v>
      </c>
      <c r="C41" s="26"/>
      <c r="D41" s="27"/>
      <c r="E41" s="11">
        <f>SUM(E10:E40)*24</f>
        <v>0</v>
      </c>
      <c r="F41" s="9"/>
      <c r="G41" s="25" t="s">
        <v>40</v>
      </c>
      <c r="H41" s="26"/>
      <c r="I41" s="27"/>
      <c r="J41" s="11">
        <f>SUM(J10:J40)*24</f>
        <v>0</v>
      </c>
      <c r="K41" s="9"/>
      <c r="L41" s="25" t="s">
        <v>40</v>
      </c>
      <c r="M41" s="26"/>
      <c r="N41" s="27"/>
      <c r="O41" s="11">
        <f>SUM(O10:O40)*24</f>
        <v>0</v>
      </c>
    </row>
    <row r="42" spans="1:15" ht="14.2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ht="14.25" customHeight="1" thickBot="1" x14ac:dyDescent="0.3">
      <c r="A43" s="6"/>
      <c r="B43" s="6"/>
      <c r="C43" s="6"/>
      <c r="D43" s="6" t="str">
        <f xml:space="preserve"> CONCATENATE("Gesamteinheiten im ",K3)</f>
        <v>Gesamteinheiten im 1. Quartal</v>
      </c>
      <c r="E43" s="6"/>
      <c r="F43" s="6"/>
      <c r="G43" s="6"/>
      <c r="H43" s="6"/>
      <c r="I43" s="12"/>
      <c r="J43" s="13">
        <f>SUM(E41,J41,O41)</f>
        <v>0</v>
      </c>
      <c r="K43" s="6" t="str">
        <f>IF(J43=0,"","        --&gt;")</f>
        <v/>
      </c>
      <c r="L43" s="40" t="str">
        <f>IF(J43=0,"",J43*3)</f>
        <v/>
      </c>
      <c r="M43" s="40"/>
      <c r="N43" s="40"/>
      <c r="O43" s="6"/>
    </row>
    <row r="44" spans="1:15" ht="14.25" customHeight="1" thickTop="1" x14ac:dyDescent="0.25">
      <c r="A44" s="6"/>
      <c r="B44" s="6"/>
      <c r="C44" s="6"/>
      <c r="D44" s="14"/>
      <c r="E44" s="14"/>
      <c r="F44" s="14"/>
      <c r="G44" s="14"/>
      <c r="H44" s="14"/>
      <c r="I44" s="14"/>
      <c r="J44" s="15"/>
      <c r="K44" s="15"/>
      <c r="L44" s="15"/>
      <c r="M44" s="15"/>
      <c r="N44" s="6"/>
      <c r="O44" s="6"/>
    </row>
    <row r="45" spans="1:15" ht="21" customHeight="1" x14ac:dyDescent="0.25">
      <c r="A45" s="6"/>
      <c r="B45" s="6"/>
      <c r="C45" s="6"/>
      <c r="D45" s="21"/>
      <c r="E45" s="21"/>
      <c r="F45" s="21"/>
      <c r="G45" s="21"/>
      <c r="H45" s="6"/>
      <c r="I45" s="6"/>
      <c r="J45" s="6"/>
      <c r="K45" s="6"/>
      <c r="L45" s="6"/>
      <c r="M45" s="6"/>
      <c r="N45" s="6"/>
      <c r="O45" s="6"/>
    </row>
    <row r="46" spans="1:15" ht="14.25" customHeight="1" x14ac:dyDescent="0.25">
      <c r="A46" s="6"/>
      <c r="B46" s="6"/>
      <c r="C46" s="6"/>
      <c r="D46" s="15" t="s">
        <v>4</v>
      </c>
      <c r="E46" s="15"/>
      <c r="F46" s="15"/>
      <c r="G46" s="15"/>
      <c r="H46" s="15"/>
      <c r="I46" s="6"/>
      <c r="J46" s="14" t="s">
        <v>5</v>
      </c>
      <c r="K46" s="14"/>
      <c r="L46" s="14"/>
      <c r="M46" s="14"/>
      <c r="N46" s="14"/>
      <c r="O46" s="6"/>
    </row>
    <row r="47" spans="1:15" x14ac:dyDescent="0.25">
      <c r="A47" s="1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x14ac:dyDescent="0.25">
      <c r="A48" s="20"/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53" spans="1:1" x14ac:dyDescent="0.25">
      <c r="A53" s="20"/>
    </row>
  </sheetData>
  <sheetProtection algorithmName="SHA-512" hashValue="ABqzDcfNHmbfUwGKWZL0mt/N7HYI8TGb7m9lgzJmPOUjnMyFoc8oEe1Y16PsaXRj2ygwXM2V2lsB9md2r2PeLg==" saltValue="fisUBscg0vN3B/k9tDfi8Q==" spinCount="100000" sheet="1" objects="1" scenarios="1"/>
  <mergeCells count="23">
    <mergeCell ref="K8:K9"/>
    <mergeCell ref="L7:O7"/>
    <mergeCell ref="L43:N43"/>
    <mergeCell ref="G41:I41"/>
    <mergeCell ref="L41:N41"/>
    <mergeCell ref="G8:I8"/>
    <mergeCell ref="J8:J9"/>
    <mergeCell ref="A8:A9"/>
    <mergeCell ref="B41:D41"/>
    <mergeCell ref="A5:O5"/>
    <mergeCell ref="A1:O1"/>
    <mergeCell ref="A2:E2"/>
    <mergeCell ref="A4:E4"/>
    <mergeCell ref="A3:E3"/>
    <mergeCell ref="F4:I4"/>
    <mergeCell ref="F3:I3"/>
    <mergeCell ref="F8:F9"/>
    <mergeCell ref="G7:J7"/>
    <mergeCell ref="L8:N8"/>
    <mergeCell ref="B8:D8"/>
    <mergeCell ref="B7:E7"/>
    <mergeCell ref="E8:E9"/>
    <mergeCell ref="O8:O9"/>
  </mergeCells>
  <pageMargins left="0.25" right="0.25" top="0.51041666666666663" bottom="0.75" header="0.3" footer="0.3"/>
  <pageSetup paperSize="9" orientation="portrait" verticalDpi="0" r:id="rId1"/>
  <headerFooter>
    <oddHeader xml:space="preserve">&amp;CÜbungsleiter -Stundennachweis 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dropdown!$E$1:$E$61</xm:f>
          </x14:formula1>
          <xm:sqref>B10:B40 N10:N40 L10:L40 I10:I40 G10:G40 D10:D40</xm:sqref>
        </x14:dataValidation>
        <x14:dataValidation type="list" allowBlank="1" showInputMessage="1" showErrorMessage="1" xr:uid="{00000000-0002-0000-0000-000000000000}">
          <x14:formula1>
            <xm:f>dropdown!A1:A26</xm:f>
          </x14:formula1>
          <xm:sqref>F4:I4</xm:sqref>
        </x14:dataValidation>
        <x14:dataValidation type="list" allowBlank="1" showInputMessage="1" showErrorMessage="1" xr:uid="{00000000-0002-0000-0000-000001000000}">
          <x14:formula1>
            <xm:f>dropdown!C1:C4</xm:f>
          </x14:formula1>
          <xm:sqref>K3:M3</xm:sqref>
        </x14:dataValidation>
        <x14:dataValidation type="list" allowBlank="1" showInputMessage="1" showErrorMessage="1" xr:uid="{00000000-0002-0000-0000-000004000000}">
          <x14:formula1>
            <xm:f>dropdown!A1:A27</xm:f>
          </x14:formula1>
          <xm:sqref>F4:I4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Normal="100" workbookViewId="0">
      <selection sqref="A1:A26"/>
    </sheetView>
  </sheetViews>
  <sheetFormatPr baseColWidth="10" defaultRowHeight="15" x14ac:dyDescent="0.25"/>
  <cols>
    <col min="1" max="1" width="30.85546875" customWidth="1"/>
    <col min="2" max="2" width="13.7109375" customWidth="1"/>
    <col min="3" max="3" width="23.42578125" customWidth="1"/>
  </cols>
  <sheetData>
    <row r="1" spans="1:9" x14ac:dyDescent="0.25">
      <c r="A1" t="s">
        <v>7</v>
      </c>
      <c r="C1" t="s">
        <v>29</v>
      </c>
      <c r="E1" s="7">
        <v>0.33333333333333298</v>
      </c>
    </row>
    <row r="2" spans="1:9" x14ac:dyDescent="0.25">
      <c r="A2" s="3" t="s">
        <v>8</v>
      </c>
      <c r="C2" t="s">
        <v>30</v>
      </c>
      <c r="E2" s="7">
        <v>0.34375</v>
      </c>
    </row>
    <row r="3" spans="1:9" x14ac:dyDescent="0.25">
      <c r="A3" t="s">
        <v>9</v>
      </c>
      <c r="C3" t="s">
        <v>31</v>
      </c>
      <c r="E3" s="7">
        <v>0.35416666666666702</v>
      </c>
    </row>
    <row r="4" spans="1:9" x14ac:dyDescent="0.25">
      <c r="A4" t="s">
        <v>10</v>
      </c>
      <c r="C4" t="s">
        <v>32</v>
      </c>
      <c r="E4" s="7">
        <v>0.36458333333333298</v>
      </c>
    </row>
    <row r="5" spans="1:9" x14ac:dyDescent="0.25">
      <c r="A5" t="s">
        <v>11</v>
      </c>
      <c r="E5" s="7">
        <v>0.375</v>
      </c>
    </row>
    <row r="6" spans="1:9" x14ac:dyDescent="0.25">
      <c r="A6" t="s">
        <v>12</v>
      </c>
      <c r="E6" s="7">
        <v>0.38541666666666702</v>
      </c>
    </row>
    <row r="7" spans="1:9" x14ac:dyDescent="0.25">
      <c r="A7" s="3" t="s">
        <v>33</v>
      </c>
      <c r="E7" s="7">
        <v>0.39583333333333298</v>
      </c>
    </row>
    <row r="8" spans="1:9" x14ac:dyDescent="0.25">
      <c r="A8" s="3" t="s">
        <v>39</v>
      </c>
      <c r="E8" s="7">
        <v>0.40625</v>
      </c>
    </row>
    <row r="9" spans="1:9" x14ac:dyDescent="0.25">
      <c r="A9" t="s">
        <v>13</v>
      </c>
      <c r="E9" s="7">
        <v>0.41666666666666702</v>
      </c>
    </row>
    <row r="10" spans="1:9" x14ac:dyDescent="0.25">
      <c r="A10" t="s">
        <v>14</v>
      </c>
      <c r="E10" s="7">
        <v>0.42708333333333298</v>
      </c>
    </row>
    <row r="11" spans="1:9" x14ac:dyDescent="0.25">
      <c r="A11" t="s">
        <v>15</v>
      </c>
      <c r="E11" s="7">
        <v>0.4375</v>
      </c>
    </row>
    <row r="12" spans="1:9" x14ac:dyDescent="0.25">
      <c r="A12" t="s">
        <v>16</v>
      </c>
      <c r="E12" s="7">
        <v>0.44791666666666702</v>
      </c>
    </row>
    <row r="13" spans="1:9" x14ac:dyDescent="0.25">
      <c r="A13" t="s">
        <v>17</v>
      </c>
      <c r="E13" s="7">
        <v>0.45833333333333298</v>
      </c>
      <c r="I13" s="4"/>
    </row>
    <row r="14" spans="1:9" x14ac:dyDescent="0.25">
      <c r="A14" t="s">
        <v>41</v>
      </c>
      <c r="E14" s="7">
        <v>0.46875</v>
      </c>
    </row>
    <row r="15" spans="1:9" x14ac:dyDescent="0.25">
      <c r="A15" t="s">
        <v>18</v>
      </c>
      <c r="E15" s="7">
        <v>0.47916666666666702</v>
      </c>
    </row>
    <row r="16" spans="1:9" x14ac:dyDescent="0.25">
      <c r="A16" t="s">
        <v>19</v>
      </c>
      <c r="E16" s="7">
        <v>0.48958333333333298</v>
      </c>
    </row>
    <row r="17" spans="1:9" x14ac:dyDescent="0.25">
      <c r="A17" t="s">
        <v>20</v>
      </c>
      <c r="E17" s="7">
        <v>0.5</v>
      </c>
    </row>
    <row r="18" spans="1:9" x14ac:dyDescent="0.25">
      <c r="A18" t="s">
        <v>21</v>
      </c>
      <c r="E18" s="7">
        <v>0.51041666666666696</v>
      </c>
      <c r="I18" s="3"/>
    </row>
    <row r="19" spans="1:9" x14ac:dyDescent="0.25">
      <c r="A19" t="s">
        <v>22</v>
      </c>
      <c r="E19" s="7">
        <v>0.52083333333333304</v>
      </c>
      <c r="I19" s="3"/>
    </row>
    <row r="20" spans="1:9" x14ac:dyDescent="0.25">
      <c r="A20" t="s">
        <v>23</v>
      </c>
      <c r="E20" s="7">
        <v>0.53125</v>
      </c>
      <c r="I20" s="4"/>
    </row>
    <row r="21" spans="1:9" x14ac:dyDescent="0.25">
      <c r="A21" t="s">
        <v>24</v>
      </c>
      <c r="E21" s="7">
        <v>0.54166666666666696</v>
      </c>
    </row>
    <row r="22" spans="1:9" x14ac:dyDescent="0.25">
      <c r="A22" s="3" t="s">
        <v>25</v>
      </c>
      <c r="E22" s="7">
        <v>0.55208333333333304</v>
      </c>
      <c r="I22" s="3"/>
    </row>
    <row r="23" spans="1:9" x14ac:dyDescent="0.25">
      <c r="A23" t="s">
        <v>26</v>
      </c>
      <c r="E23" s="7">
        <v>0.5625</v>
      </c>
      <c r="I23" s="3"/>
    </row>
    <row r="24" spans="1:9" x14ac:dyDescent="0.25">
      <c r="A24" t="s">
        <v>27</v>
      </c>
      <c r="E24" s="7">
        <v>0.57291666666666696</v>
      </c>
    </row>
    <row r="25" spans="1:9" x14ac:dyDescent="0.25">
      <c r="A25" t="s">
        <v>28</v>
      </c>
      <c r="E25" s="7">
        <v>0.58333333333333304</v>
      </c>
    </row>
    <row r="26" spans="1:9" x14ac:dyDescent="0.25">
      <c r="A26" t="s">
        <v>42</v>
      </c>
      <c r="E26" s="7">
        <v>0.59375</v>
      </c>
    </row>
    <row r="27" spans="1:9" x14ac:dyDescent="0.25">
      <c r="A27" s="3"/>
      <c r="E27" s="7">
        <v>0.60416666666666696</v>
      </c>
    </row>
    <row r="28" spans="1:9" x14ac:dyDescent="0.25">
      <c r="E28" s="7">
        <v>0.61458333333333304</v>
      </c>
    </row>
    <row r="29" spans="1:9" x14ac:dyDescent="0.25">
      <c r="E29" s="7">
        <v>0.625</v>
      </c>
    </row>
    <row r="30" spans="1:9" x14ac:dyDescent="0.25">
      <c r="E30" s="7">
        <v>0.63541666666666696</v>
      </c>
    </row>
    <row r="31" spans="1:9" x14ac:dyDescent="0.25">
      <c r="E31" s="7">
        <v>0.64583333333333304</v>
      </c>
    </row>
    <row r="32" spans="1:9" x14ac:dyDescent="0.25">
      <c r="E32" s="7">
        <v>0.65625</v>
      </c>
    </row>
    <row r="33" spans="5:5" x14ac:dyDescent="0.25">
      <c r="E33" s="7">
        <v>0.66666666666666696</v>
      </c>
    </row>
    <row r="34" spans="5:5" x14ac:dyDescent="0.25">
      <c r="E34" s="7">
        <v>0.67708333333333304</v>
      </c>
    </row>
    <row r="35" spans="5:5" x14ac:dyDescent="0.25">
      <c r="E35" s="7">
        <v>0.6875</v>
      </c>
    </row>
    <row r="36" spans="5:5" x14ac:dyDescent="0.25">
      <c r="E36" s="7">
        <v>0.69791666666666696</v>
      </c>
    </row>
    <row r="37" spans="5:5" x14ac:dyDescent="0.25">
      <c r="E37" s="7">
        <v>0.70833333333333304</v>
      </c>
    </row>
    <row r="38" spans="5:5" x14ac:dyDescent="0.25">
      <c r="E38" s="7">
        <v>0.71875</v>
      </c>
    </row>
    <row r="39" spans="5:5" x14ac:dyDescent="0.25">
      <c r="E39" s="7">
        <v>0.72916666666666696</v>
      </c>
    </row>
    <row r="40" spans="5:5" x14ac:dyDescent="0.25">
      <c r="E40" s="7">
        <v>0.73958333333333304</v>
      </c>
    </row>
    <row r="41" spans="5:5" x14ac:dyDescent="0.25">
      <c r="E41" s="7">
        <v>0.75</v>
      </c>
    </row>
    <row r="42" spans="5:5" x14ac:dyDescent="0.25">
      <c r="E42" s="7">
        <v>0.76041666666666696</v>
      </c>
    </row>
    <row r="43" spans="5:5" x14ac:dyDescent="0.25">
      <c r="E43" s="7">
        <v>0.77083333333333304</v>
      </c>
    </row>
    <row r="44" spans="5:5" x14ac:dyDescent="0.25">
      <c r="E44" s="7">
        <v>0.78125</v>
      </c>
    </row>
    <row r="45" spans="5:5" x14ac:dyDescent="0.25">
      <c r="E45" s="7">
        <v>0.79166666666666696</v>
      </c>
    </row>
    <row r="46" spans="5:5" x14ac:dyDescent="0.25">
      <c r="E46" s="7">
        <v>0.80208333333333304</v>
      </c>
    </row>
    <row r="47" spans="5:5" x14ac:dyDescent="0.25">
      <c r="E47" s="7">
        <v>0.8125</v>
      </c>
    </row>
    <row r="48" spans="5:5" x14ac:dyDescent="0.25">
      <c r="E48" s="7">
        <v>0.82291666666666696</v>
      </c>
    </row>
    <row r="49" spans="5:5" x14ac:dyDescent="0.25">
      <c r="E49" s="7">
        <v>0.83333333333333304</v>
      </c>
    </row>
    <row r="50" spans="5:5" x14ac:dyDescent="0.25">
      <c r="E50" s="7">
        <v>0.84375</v>
      </c>
    </row>
    <row r="51" spans="5:5" x14ac:dyDescent="0.25">
      <c r="E51" s="7">
        <v>0.85416666666666696</v>
      </c>
    </row>
    <row r="52" spans="5:5" x14ac:dyDescent="0.25">
      <c r="E52" s="7">
        <v>0.86458333333333304</v>
      </c>
    </row>
    <row r="53" spans="5:5" x14ac:dyDescent="0.25">
      <c r="E53" s="7">
        <v>0.875</v>
      </c>
    </row>
    <row r="54" spans="5:5" x14ac:dyDescent="0.25">
      <c r="E54" s="7">
        <v>0.88541666666666696</v>
      </c>
    </row>
    <row r="55" spans="5:5" x14ac:dyDescent="0.25">
      <c r="E55" s="7">
        <v>0.89583333333333304</v>
      </c>
    </row>
    <row r="56" spans="5:5" x14ac:dyDescent="0.25">
      <c r="E56" s="7">
        <v>0.90625</v>
      </c>
    </row>
    <row r="57" spans="5:5" x14ac:dyDescent="0.25">
      <c r="E57" s="7">
        <v>0.91666666666666696</v>
      </c>
    </row>
    <row r="58" spans="5:5" x14ac:dyDescent="0.25">
      <c r="E58" s="7">
        <v>0.92708333333333304</v>
      </c>
    </row>
    <row r="59" spans="5:5" x14ac:dyDescent="0.25">
      <c r="E59" s="7">
        <v>0.9375</v>
      </c>
    </row>
    <row r="60" spans="5:5" x14ac:dyDescent="0.25">
      <c r="E60" s="7">
        <v>0.94791666666666696</v>
      </c>
    </row>
    <row r="61" spans="5:5" x14ac:dyDescent="0.25">
      <c r="E61" s="7">
        <v>0.95833333333333304</v>
      </c>
    </row>
    <row r="62" spans="5:5" x14ac:dyDescent="0.25">
      <c r="E62" s="7"/>
    </row>
    <row r="63" spans="5:5" x14ac:dyDescent="0.25">
      <c r="E63" s="7"/>
    </row>
    <row r="64" spans="5:5" x14ac:dyDescent="0.25">
      <c r="E64" s="7"/>
    </row>
  </sheetData>
  <sheetProtection algorithmName="SHA-512" hashValue="gM5tPuDLKEQ7AySc0Bgz2PFD63Juj5WByucGqOprohFG4N+iqUeT9Xop9FQUgDTzWmDREMeMWfLo9J2v+/uf2w==" saltValue="37SwzBxq7R723VIrHh2IaA==" spinCount="100000" sheet="1" objects="1" scenarios="1"/>
  <dataValidations count="1">
    <dataValidation type="list" allowBlank="1" showInputMessage="1" showErrorMessage="1" sqref="A1:A26" xr:uid="{05D11611-0708-4E78-8F12-BEC986CF2278}">
      <formula1>$A$1:$A$26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V A n V A i u q j C k A A A A 9 Q A A A B I A H A B D b 2 5 m a W c v U G F j a 2 F n Z S 5 4 b W w g o h g A K K A U A A A A A A A A A A A A A A A A A A A A A A A A A A A A h Y + x D o I w G I R f h X S n L X U R 8 l M G d Z P E x M S 4 N q V C A x R D i + X d H H w k X 0 G M o m 6 O 9 9 1 d c n e / 3 i A b 2 y a 4 q N 7 q z q Q o w h Q F y s i u 0 K Z M 0 e B O 4 R J l H H Z C 1 q J U w R Q 2 N h m t T l H l 3 D k h x H u P / Q J 3 f U k Y p R E 5 5 t u 9 r F Q r Q m 2 s E 0 Y q 9 G k V / 1 u I w + E 1 h j M c x 5 h R h i m Q m U G u z d d n 0 9 y n + w N h N T R u 6 B U v V L j e A J k l k P c F / g B Q S w M E F A A C A A g A y V A n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Q J 1 Q o i k e 4 D g A A A B E A A A A T A B w A R m 9 y b X V s Y X M v U 2 V j d G l v b j E u b S C i G A A o o B Q A A A A A A A A A A A A A A A A A A A A A A A A A A A A r T k 0 u y c z P U w i G 0 I b W A F B L A Q I t A B Q A A g A I A M l Q J 1 Q I r q o w p A A A A P U A A A A S A A A A A A A A A A A A A A A A A A A A A A B D b 2 5 m a W c v U G F j a 2 F n Z S 5 4 b W x Q S w E C L Q A U A A I A C A D J U C d U D 8 r p q 6 Q A A A D p A A A A E w A A A A A A A A A A A A A A A A D w A A A A W 0 N v b n R l b n R f V H l w Z X N d L n h t b F B L A Q I t A B Q A A g A I A M l Q J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T 3 V S E 2 j E S I t q 3 5 k Q D 3 p 6 A A A A A A I A A A A A A A N m A A D A A A A A E A A A A B s T d n g n J T 1 h e U c z S D V 8 A z k A A A A A B I A A A K A A A A A Q A A A A Q n s p W f 4 p v 1 7 q 7 X k A v n F j F l A A A A C A v h e d z i Q O S s E B t w 0 E y P K 6 Y r x M 2 t d 0 j l 4 4 m u d s i z 5 o 2 G P 4 v E V 2 E t I t S b e a A e O K h R p M 3 G h K 3 M r 0 v r O b q R E h P + 2 4 z / a H 6 5 c r d C 0 9 g F P a c H k a f R Q A A A B f R + w v f 0 o C f 1 + m h o T 2 g E i + s h s l D Q = = < / D a t a M a s h u p > 
</file>

<file path=customXml/itemProps1.xml><?xml version="1.0" encoding="utf-8"?>
<ds:datastoreItem xmlns:ds="http://schemas.openxmlformats.org/officeDocument/2006/customXml" ds:itemID="{C3B24FA1-3A0E-4DDD-8E4B-46F9BEE227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fsj</dc:creator>
  <cp:lastModifiedBy>Nicole Buchner</cp:lastModifiedBy>
  <cp:lastPrinted>2017-03-29T08:35:43Z</cp:lastPrinted>
  <dcterms:created xsi:type="dcterms:W3CDTF">2016-01-25T13:28:43Z</dcterms:created>
  <dcterms:modified xsi:type="dcterms:W3CDTF">2022-11-03T10:04:50Z</dcterms:modified>
</cp:coreProperties>
</file>